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MP\Downloads\ماهنامه\"/>
    </mc:Choice>
  </mc:AlternateContent>
  <xr:revisionPtr revIDLastSave="0" documentId="13_ncr:1_{9A010C04-01D2-4361-82CF-C6EB4EB509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مسافت پيموده شده لکوموتيو" sheetId="2" r:id="rId1"/>
  </sheets>
  <definedNames>
    <definedName name="_xlnm.Print_Area" localSheetId="0">'مسافت پيموده شده لکوموتيو'!$A$1:$N$102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2" l="1"/>
  <c r="E98" i="2"/>
  <c r="D98" i="2"/>
  <c r="C98" i="2"/>
  <c r="F97" i="2"/>
  <c r="E97" i="2"/>
  <c r="D97" i="2"/>
  <c r="C97" i="2"/>
  <c r="F96" i="2"/>
  <c r="E96" i="2"/>
  <c r="D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F99" i="2" s="1"/>
  <c r="E89" i="2"/>
  <c r="E99" i="2" s="1"/>
  <c r="D89" i="2"/>
  <c r="D99" i="2" s="1"/>
  <c r="C89" i="2"/>
  <c r="C99" i="2" s="1"/>
  <c r="F87" i="2"/>
  <c r="E87" i="2"/>
  <c r="D87" i="2"/>
  <c r="C87" i="2"/>
  <c r="F86" i="2"/>
  <c r="E86" i="2"/>
  <c r="D86" i="2"/>
  <c r="F85" i="2"/>
  <c r="E85" i="2"/>
  <c r="D85" i="2"/>
  <c r="C85" i="2"/>
  <c r="F84" i="2"/>
  <c r="E84" i="2"/>
  <c r="D84" i="2"/>
  <c r="C84" i="2"/>
  <c r="F83" i="2"/>
  <c r="E83" i="2"/>
  <c r="D83" i="2"/>
  <c r="C83" i="2"/>
  <c r="F82" i="2"/>
  <c r="E82" i="2"/>
  <c r="D82" i="2"/>
  <c r="C82" i="2"/>
  <c r="F81" i="2"/>
  <c r="E81" i="2"/>
  <c r="D81" i="2"/>
  <c r="C81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E76" i="2"/>
  <c r="D76" i="2"/>
  <c r="C76" i="2"/>
  <c r="F75" i="2"/>
  <c r="F88" i="2" s="1"/>
  <c r="E75" i="2"/>
  <c r="E88" i="2" s="1"/>
  <c r="D75" i="2"/>
  <c r="D88" i="2" s="1"/>
  <c r="C75" i="2"/>
  <c r="C88" i="2" s="1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F65" i="2"/>
  <c r="E65" i="2"/>
  <c r="D65" i="2"/>
  <c r="C65" i="2"/>
  <c r="F64" i="2"/>
  <c r="E64" i="2"/>
  <c r="D64" i="2"/>
  <c r="F63" i="2"/>
  <c r="F74" i="2" s="1"/>
  <c r="E63" i="2"/>
  <c r="E74" i="2" s="1"/>
  <c r="D63" i="2"/>
  <c r="D74" i="2" s="1"/>
  <c r="AL60" i="2"/>
  <c r="AL61" i="2" s="1"/>
  <c r="AL56" i="2"/>
  <c r="AL58" i="2" s="1"/>
  <c r="AA56" i="2"/>
  <c r="AA57" i="2" s="1"/>
  <c r="N56" i="2"/>
  <c r="M56" i="2"/>
  <c r="L56" i="2"/>
  <c r="K56" i="2"/>
  <c r="J56" i="2"/>
  <c r="I56" i="2"/>
  <c r="H56" i="2"/>
  <c r="G56" i="2"/>
  <c r="F56" i="2"/>
  <c r="E56" i="2"/>
  <c r="D56" i="2"/>
  <c r="AK52" i="2"/>
  <c r="AJ52" i="2"/>
  <c r="AI52" i="2"/>
  <c r="AH52" i="2"/>
  <c r="AG52" i="2"/>
  <c r="AF52" i="2"/>
  <c r="AE52" i="2"/>
  <c r="AD52" i="2"/>
  <c r="Z52" i="2"/>
  <c r="Z56" i="2" s="1"/>
  <c r="Y52" i="2"/>
  <c r="X52" i="2"/>
  <c r="W52" i="2"/>
  <c r="W56" i="2" s="1"/>
  <c r="V52" i="2"/>
  <c r="V56" i="2" s="1"/>
  <c r="U52" i="2"/>
  <c r="T52" i="2"/>
  <c r="S52" i="2"/>
  <c r="S56" i="2" s="1"/>
  <c r="R52" i="2"/>
  <c r="R56" i="2" s="1"/>
  <c r="Q52" i="2"/>
  <c r="P52" i="2"/>
  <c r="O52" i="2"/>
  <c r="O56" i="2" s="1"/>
  <c r="C52" i="2"/>
  <c r="C56" i="2" s="1"/>
  <c r="AK49" i="2"/>
  <c r="AF49" i="2"/>
  <c r="AE49" i="2"/>
  <c r="X49" i="2"/>
  <c r="V49" i="2"/>
  <c r="U49" i="2"/>
  <c r="AK48" i="2"/>
  <c r="AJ48" i="2"/>
  <c r="AJ56" i="2" s="1"/>
  <c r="AL57" i="2" s="1"/>
  <c r="AI48" i="2"/>
  <c r="AI56" i="2" s="1"/>
  <c r="AH48" i="2"/>
  <c r="AH56" i="2" s="1"/>
  <c r="AG48" i="2"/>
  <c r="AG56" i="2" s="1"/>
  <c r="AG57" i="2" s="1"/>
  <c r="AF48" i="2"/>
  <c r="AF56" i="2" s="1"/>
  <c r="AE48" i="2"/>
  <c r="AE56" i="2" s="1"/>
  <c r="AD48" i="2"/>
  <c r="AD56" i="2" s="1"/>
  <c r="Z48" i="2"/>
  <c r="Y48" i="2"/>
  <c r="Y56" i="2" s="1"/>
  <c r="X48" i="2"/>
  <c r="X56" i="2" s="1"/>
  <c r="W48" i="2"/>
  <c r="V48" i="2"/>
  <c r="U48" i="2"/>
  <c r="U56" i="2" s="1"/>
  <c r="T48" i="2"/>
  <c r="T56" i="2" s="1"/>
  <c r="S48" i="2"/>
  <c r="R48" i="2"/>
  <c r="Q48" i="2"/>
  <c r="Q56" i="2" s="1"/>
  <c r="P48" i="2"/>
  <c r="P56" i="2" s="1"/>
  <c r="O48" i="2"/>
  <c r="AL46" i="2"/>
  <c r="AL47" i="2" s="1"/>
  <c r="AA44" i="2"/>
  <c r="AA45" i="2" s="1"/>
  <c r="N44" i="2"/>
  <c r="M44" i="2"/>
  <c r="L44" i="2"/>
  <c r="K44" i="2"/>
  <c r="J44" i="2"/>
  <c r="I44" i="2"/>
  <c r="H44" i="2"/>
  <c r="G44" i="2"/>
  <c r="F44" i="2"/>
  <c r="E44" i="2"/>
  <c r="D44" i="2"/>
  <c r="AK43" i="2"/>
  <c r="AJ43" i="2"/>
  <c r="AG43" i="2"/>
  <c r="AD43" i="2"/>
  <c r="R43" i="2"/>
  <c r="C43" i="2"/>
  <c r="AK42" i="2"/>
  <c r="AJ42" i="2"/>
  <c r="AI42" i="2"/>
  <c r="AG42" i="2"/>
  <c r="Z42" i="2"/>
  <c r="W42" i="2"/>
  <c r="S42" i="2"/>
  <c r="C42" i="2"/>
  <c r="AJ41" i="2"/>
  <c r="AI41" i="2"/>
  <c r="AH41" i="2"/>
  <c r="AG41" i="2"/>
  <c r="AF41" i="2"/>
  <c r="Z41" i="2"/>
  <c r="Y41" i="2"/>
  <c r="C41" i="2"/>
  <c r="AK40" i="2"/>
  <c r="AJ40" i="2"/>
  <c r="AI40" i="2"/>
  <c r="AH40" i="2"/>
  <c r="AG40" i="2"/>
  <c r="AF40" i="2"/>
  <c r="AE40" i="2"/>
  <c r="AD40" i="2"/>
  <c r="Z40" i="2"/>
  <c r="Y40" i="2"/>
  <c r="X40" i="2"/>
  <c r="W40" i="2"/>
  <c r="V40" i="2"/>
  <c r="U40" i="2"/>
  <c r="T40" i="2"/>
  <c r="S40" i="2"/>
  <c r="R40" i="2"/>
  <c r="P40" i="2"/>
  <c r="O40" i="2"/>
  <c r="C40" i="2"/>
  <c r="C39" i="2"/>
  <c r="C37" i="2"/>
  <c r="C36" i="2"/>
  <c r="AG35" i="2"/>
  <c r="AF35" i="2"/>
  <c r="AD35" i="2"/>
  <c r="C35" i="2"/>
  <c r="C86" i="2" s="1"/>
  <c r="AK33" i="2"/>
  <c r="AJ33" i="2"/>
  <c r="AI33" i="2"/>
  <c r="AH33" i="2"/>
  <c r="AG33" i="2"/>
  <c r="AF33" i="2"/>
  <c r="AE33" i="2"/>
  <c r="AD33" i="2"/>
  <c r="Z33" i="2"/>
  <c r="Y33" i="2"/>
  <c r="X33" i="2"/>
  <c r="W33" i="2"/>
  <c r="V33" i="2"/>
  <c r="U33" i="2"/>
  <c r="T33" i="2"/>
  <c r="S33" i="2"/>
  <c r="R33" i="2"/>
  <c r="Q33" i="2"/>
  <c r="P33" i="2"/>
  <c r="O33" i="2"/>
  <c r="C33" i="2"/>
  <c r="AK32" i="2"/>
  <c r="AJ32" i="2"/>
  <c r="AI32" i="2"/>
  <c r="AH32" i="2"/>
  <c r="AG32" i="2"/>
  <c r="AF32" i="2"/>
  <c r="AE32" i="2"/>
  <c r="AD32" i="2"/>
  <c r="Z32" i="2"/>
  <c r="Y32" i="2"/>
  <c r="X32" i="2"/>
  <c r="W32" i="2"/>
  <c r="V32" i="2"/>
  <c r="U32" i="2"/>
  <c r="T32" i="2"/>
  <c r="S32" i="2"/>
  <c r="R32" i="2"/>
  <c r="Q32" i="2"/>
  <c r="P32" i="2"/>
  <c r="O32" i="2"/>
  <c r="C32" i="2"/>
  <c r="C31" i="2"/>
  <c r="AK30" i="2"/>
  <c r="AI30" i="2"/>
  <c r="AG30" i="2"/>
  <c r="C30" i="2"/>
  <c r="AK29" i="2"/>
  <c r="AJ29" i="2"/>
  <c r="AI29" i="2"/>
  <c r="AH29" i="2"/>
  <c r="AG29" i="2"/>
  <c r="AF29" i="2"/>
  <c r="AE29" i="2"/>
  <c r="AD29" i="2"/>
  <c r="Z29" i="2"/>
  <c r="Y29" i="2"/>
  <c r="X29" i="2"/>
  <c r="W29" i="2"/>
  <c r="V29" i="2"/>
  <c r="U29" i="2"/>
  <c r="T29" i="2"/>
  <c r="S29" i="2"/>
  <c r="R29" i="2"/>
  <c r="Q29" i="2"/>
  <c r="P29" i="2"/>
  <c r="O29" i="2"/>
  <c r="AK28" i="2"/>
  <c r="AJ28" i="2"/>
  <c r="AI28" i="2"/>
  <c r="AH28" i="2"/>
  <c r="AG28" i="2"/>
  <c r="AF28" i="2"/>
  <c r="AE28" i="2"/>
  <c r="AD28" i="2"/>
  <c r="Z28" i="2"/>
  <c r="Y28" i="2"/>
  <c r="X28" i="2"/>
  <c r="W28" i="2"/>
  <c r="V28" i="2"/>
  <c r="U28" i="2"/>
  <c r="T28" i="2"/>
  <c r="S28" i="2"/>
  <c r="R28" i="2"/>
  <c r="Q28" i="2"/>
  <c r="P28" i="2"/>
  <c r="O28" i="2"/>
  <c r="AK27" i="2"/>
  <c r="AI27" i="2"/>
  <c r="AG27" i="2"/>
  <c r="AF27" i="2"/>
  <c r="AE27" i="2"/>
  <c r="AD27" i="2"/>
  <c r="Z27" i="2"/>
  <c r="Y27" i="2"/>
  <c r="W27" i="2"/>
  <c r="V27" i="2"/>
  <c r="U27" i="2"/>
  <c r="T27" i="2"/>
  <c r="S27" i="2"/>
  <c r="R27" i="2"/>
  <c r="Q27" i="2"/>
  <c r="P27" i="2"/>
  <c r="O27" i="2"/>
  <c r="AI26" i="2"/>
  <c r="C26" i="2"/>
  <c r="AK25" i="2"/>
  <c r="AK44" i="2" s="1"/>
  <c r="AL43" i="2" s="1"/>
  <c r="AJ25" i="2"/>
  <c r="AJ44" i="2" s="1"/>
  <c r="AI25" i="2"/>
  <c r="AI44" i="2" s="1"/>
  <c r="AH25" i="2"/>
  <c r="AH44" i="2" s="1"/>
  <c r="AG25" i="2"/>
  <c r="AG44" i="2" s="1"/>
  <c r="AF25" i="2"/>
  <c r="AF44" i="2" s="1"/>
  <c r="AE25" i="2"/>
  <c r="AE44" i="2" s="1"/>
  <c r="AD25" i="2"/>
  <c r="AD44" i="2" s="1"/>
  <c r="Z25" i="2"/>
  <c r="Z44" i="2" s="1"/>
  <c r="Y25" i="2"/>
  <c r="Y44" i="2" s="1"/>
  <c r="X25" i="2"/>
  <c r="X44" i="2" s="1"/>
  <c r="W25" i="2"/>
  <c r="W44" i="2" s="1"/>
  <c r="V25" i="2"/>
  <c r="V44" i="2" s="1"/>
  <c r="U25" i="2"/>
  <c r="U44" i="2" s="1"/>
  <c r="T25" i="2"/>
  <c r="T44" i="2" s="1"/>
  <c r="S25" i="2"/>
  <c r="S44" i="2" s="1"/>
  <c r="R25" i="2"/>
  <c r="R44" i="2" s="1"/>
  <c r="Q25" i="2"/>
  <c r="Q44" i="2" s="1"/>
  <c r="P25" i="2"/>
  <c r="P44" i="2" s="1"/>
  <c r="O25" i="2"/>
  <c r="F76" i="2" s="1"/>
  <c r="C25" i="2"/>
  <c r="C44" i="2" s="1"/>
  <c r="AA24" i="2"/>
  <c r="AH23" i="2"/>
  <c r="AD23" i="2"/>
  <c r="N23" i="2"/>
  <c r="M23" i="2"/>
  <c r="L23" i="2"/>
  <c r="K23" i="2"/>
  <c r="J23" i="2"/>
  <c r="I23" i="2"/>
  <c r="H23" i="2"/>
  <c r="G23" i="2"/>
  <c r="F23" i="2"/>
  <c r="E23" i="2"/>
  <c r="D23" i="2"/>
  <c r="AK11" i="2"/>
  <c r="AJ11" i="2"/>
  <c r="AI11" i="2"/>
  <c r="AH11" i="2"/>
  <c r="AG11" i="2"/>
  <c r="AF11" i="2"/>
  <c r="AE11" i="2"/>
  <c r="AD11" i="2"/>
  <c r="Z11" i="2"/>
  <c r="Y11" i="2"/>
  <c r="X11" i="2"/>
  <c r="W11" i="2"/>
  <c r="V11" i="2"/>
  <c r="U11" i="2"/>
  <c r="T11" i="2"/>
  <c r="S11" i="2"/>
  <c r="R11" i="2"/>
  <c r="Q11" i="2"/>
  <c r="P11" i="2"/>
  <c r="O11" i="2"/>
  <c r="AK10" i="2"/>
  <c r="AJ10" i="2"/>
  <c r="AI10" i="2"/>
  <c r="AH10" i="2"/>
  <c r="AG10" i="2"/>
  <c r="AF10" i="2"/>
  <c r="AE10" i="2"/>
  <c r="AD10" i="2"/>
  <c r="Z10" i="2"/>
  <c r="Y10" i="2"/>
  <c r="X10" i="2"/>
  <c r="W10" i="2"/>
  <c r="V10" i="2"/>
  <c r="U10" i="2"/>
  <c r="T10" i="2"/>
  <c r="S10" i="2"/>
  <c r="R10" i="2"/>
  <c r="Q10" i="2"/>
  <c r="P10" i="2"/>
  <c r="O10" i="2"/>
  <c r="AK9" i="2"/>
  <c r="AK23" i="2" s="1"/>
  <c r="AL23" i="2" s="1"/>
  <c r="AJ9" i="2"/>
  <c r="AJ23" i="2" s="1"/>
  <c r="AI9" i="2"/>
  <c r="AI23" i="2" s="1"/>
  <c r="AH9" i="2"/>
  <c r="AG9" i="2"/>
  <c r="AG23" i="2" s="1"/>
  <c r="AF9" i="2"/>
  <c r="AF23" i="2" s="1"/>
  <c r="AE9" i="2"/>
  <c r="AE23" i="2" s="1"/>
  <c r="AD9" i="2"/>
  <c r="Z9" i="2"/>
  <c r="Z23" i="2" s="1"/>
  <c r="AB23" i="2" s="1"/>
  <c r="Y9" i="2"/>
  <c r="Y23" i="2" s="1"/>
  <c r="X9" i="2"/>
  <c r="X23" i="2" s="1"/>
  <c r="W9" i="2"/>
  <c r="W23" i="2" s="1"/>
  <c r="V9" i="2"/>
  <c r="V23" i="2" s="1"/>
  <c r="U9" i="2"/>
  <c r="U23" i="2" s="1"/>
  <c r="T9" i="2"/>
  <c r="T23" i="2" s="1"/>
  <c r="S9" i="2"/>
  <c r="S23" i="2" s="1"/>
  <c r="R9" i="2"/>
  <c r="R23" i="2" s="1"/>
  <c r="Q9" i="2"/>
  <c r="Q23" i="2" s="1"/>
  <c r="P9" i="2"/>
  <c r="P23" i="2" s="1"/>
  <c r="O9" i="2"/>
  <c r="O23" i="2" s="1"/>
  <c r="C8" i="2"/>
  <c r="C5" i="2"/>
  <c r="C64" i="2" s="1"/>
  <c r="C4" i="2"/>
  <c r="C23" i="2" s="1"/>
  <c r="C63" i="2" l="1"/>
  <c r="C74" i="2" s="1"/>
  <c r="C96" i="2"/>
  <c r="O44" i="2"/>
</calcChain>
</file>

<file path=xl/sharedStrings.xml><?xml version="1.0" encoding="utf-8"?>
<sst xmlns="http://schemas.openxmlformats.org/spreadsheetml/2006/main" count="121" uniqueCount="53">
  <si>
    <t>ميانگين روزانه مسافت پيموده شده لكوموتيوها (به تفكيك نوع سرويس)درسال 1403</t>
  </si>
  <si>
    <t>نوع لكوموتيو و سرويس دهي</t>
  </si>
  <si>
    <t>ماه</t>
  </si>
  <si>
    <t>فروردين</t>
  </si>
  <si>
    <t>ارديبهشت</t>
  </si>
  <si>
    <t>خرداد</t>
  </si>
  <si>
    <t>تير</t>
  </si>
  <si>
    <t>مرداد</t>
  </si>
  <si>
    <t>شهريور</t>
  </si>
  <si>
    <t>مهر</t>
  </si>
  <si>
    <t>آبان</t>
  </si>
  <si>
    <t>آذر</t>
  </si>
  <si>
    <t>دي</t>
  </si>
  <si>
    <t>بهمن</t>
  </si>
  <si>
    <t>اسفند</t>
  </si>
  <si>
    <t>مانوري</t>
  </si>
  <si>
    <t>G-8</t>
  </si>
  <si>
    <t>G-12</t>
  </si>
  <si>
    <t>G-16</t>
  </si>
  <si>
    <t>G-22</t>
  </si>
  <si>
    <t>G-18</t>
  </si>
  <si>
    <t>GE</t>
  </si>
  <si>
    <t>GT-26CW</t>
  </si>
  <si>
    <t>GT-26CW-P</t>
  </si>
  <si>
    <t>AD-43C</t>
  </si>
  <si>
    <t>ER24PC</t>
  </si>
  <si>
    <t>HD-10</t>
  </si>
  <si>
    <t>RC-4</t>
  </si>
  <si>
    <t>چینی راه آهن کشش</t>
  </si>
  <si>
    <t>MAP24راهوار</t>
  </si>
  <si>
    <t>MAPریل پرداز24</t>
  </si>
  <si>
    <t>MAPفولاد24</t>
  </si>
  <si>
    <t>آلستوم مپنا</t>
  </si>
  <si>
    <t>مپناMAP24</t>
  </si>
  <si>
    <t xml:space="preserve"> البرزCDN10</t>
  </si>
  <si>
    <t>جمع</t>
  </si>
  <si>
    <t>باري + تردد</t>
  </si>
  <si>
    <t>گل گهر ترابر سیرجان</t>
  </si>
  <si>
    <t>چینی پرس</t>
  </si>
  <si>
    <t>چینی سیون ترابر</t>
  </si>
  <si>
    <t>MAP24فولاد</t>
  </si>
  <si>
    <t>MAP24ریل پرداز</t>
  </si>
  <si>
    <t>مسافري + محلي</t>
  </si>
  <si>
    <t>ماخذ:سيستم ثبتي روزانه ديزلها</t>
  </si>
  <si>
    <t xml:space="preserve"> </t>
  </si>
  <si>
    <t xml:space="preserve">فصل </t>
  </si>
  <si>
    <t xml:space="preserve"> بهار </t>
  </si>
  <si>
    <t xml:space="preserve"> تابستان </t>
  </si>
  <si>
    <t xml:space="preserve"> پاييز </t>
  </si>
  <si>
    <t xml:space="preserve"> زمستان</t>
  </si>
  <si>
    <t>DF8BI-1</t>
  </si>
  <si>
    <t>DF8BI-2</t>
  </si>
  <si>
    <t>DF8BI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</si>
</sst>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22"/>
      <name val="B Jalal"/>
      <charset val="178"/>
    </font>
    <font>
      <sz val="22"/>
      <color theme="1"/>
      <name val="B Jalal"/>
      <charset val="178"/>
    </font>
    <font>
      <sz val="14"/>
      <color theme="1"/>
      <name val="Arial"/>
      <family val="2"/>
    </font>
    <font>
      <b/>
      <sz val="16"/>
      <name val="B Jalal"/>
      <charset val="178"/>
    </font>
    <font>
      <b/>
      <sz val="14"/>
      <name val="B Jalal"/>
      <charset val="178"/>
    </font>
    <font>
      <b/>
      <sz val="20"/>
      <name val="B Jalal"/>
      <charset val="178"/>
    </font>
    <font>
      <sz val="18"/>
      <name val="B Jalal"/>
      <charset val="178"/>
    </font>
    <font>
      <sz val="20"/>
      <color theme="1"/>
      <name val="B Jalal"/>
      <charset val="178"/>
    </font>
    <font>
      <sz val="18"/>
      <color theme="1"/>
      <name val="Arial"/>
      <family val="2"/>
    </font>
    <font>
      <sz val="20"/>
      <name val="B Jalal"/>
      <charset val="178"/>
    </font>
    <font>
      <sz val="14"/>
      <color theme="1"/>
      <name val="B Jalal"/>
      <charset val="178"/>
    </font>
    <font>
      <sz val="16"/>
      <color theme="1"/>
      <name val="Arial"/>
      <family val="2"/>
    </font>
    <font>
      <b/>
      <sz val="16"/>
      <name val="Arial"/>
      <family val="2"/>
    </font>
    <font>
      <sz val="22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/>
    <xf numFmtId="0" fontId="4" fillId="0" borderId="0" xfId="1" applyFont="1"/>
    <xf numFmtId="1" fontId="4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textRotation="90"/>
    </xf>
    <xf numFmtId="0" fontId="8" fillId="0" borderId="9" xfId="1" applyFont="1" applyBorder="1" applyAlignment="1">
      <alignment horizontal="center" vertical="center"/>
    </xf>
    <xf numFmtId="1" fontId="9" fillId="0" borderId="10" xfId="1" applyNumberFormat="1" applyFont="1" applyBorder="1" applyAlignment="1">
      <alignment horizontal="center" vertical="center"/>
    </xf>
    <xf numFmtId="1" fontId="9" fillId="0" borderId="11" xfId="1" applyNumberFormat="1" applyFont="1" applyBorder="1" applyAlignment="1">
      <alignment horizontal="center" vertical="center"/>
    </xf>
    <xf numFmtId="0" fontId="10" fillId="0" borderId="0" xfId="1" applyFont="1"/>
    <xf numFmtId="0" fontId="7" fillId="2" borderId="12" xfId="1" applyFont="1" applyFill="1" applyBorder="1" applyAlignment="1">
      <alignment horizontal="center" vertical="center" textRotation="90"/>
    </xf>
    <xf numFmtId="0" fontId="8" fillId="0" borderId="13" xfId="1" applyFont="1" applyBorder="1" applyAlignment="1">
      <alignment horizontal="center" vertical="center"/>
    </xf>
    <xf numFmtId="1" fontId="9" fillId="0" borderId="14" xfId="1" applyNumberFormat="1" applyFont="1" applyBorder="1" applyAlignment="1">
      <alignment horizontal="center" vertical="center"/>
    </xf>
    <xf numFmtId="1" fontId="9" fillId="0" borderId="15" xfId="1" applyNumberFormat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1" fontId="9" fillId="2" borderId="15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textRotation="90"/>
    </xf>
    <xf numFmtId="0" fontId="8" fillId="3" borderId="16" xfId="1" applyFont="1" applyFill="1" applyBorder="1" applyAlignment="1">
      <alignment horizontal="center" vertical="center"/>
    </xf>
    <xf numFmtId="1" fontId="11" fillId="4" borderId="17" xfId="1" applyNumberFormat="1" applyFont="1" applyFill="1" applyBorder="1" applyAlignment="1">
      <alignment horizontal="center" vertical="center"/>
    </xf>
    <xf numFmtId="1" fontId="11" fillId="4" borderId="18" xfId="1" applyNumberFormat="1" applyFont="1" applyFill="1" applyBorder="1" applyAlignment="1">
      <alignment horizontal="center" vertical="center"/>
    </xf>
    <xf numFmtId="1" fontId="11" fillId="4" borderId="19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1" fontId="4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  <xf numFmtId="0" fontId="7" fillId="0" borderId="3" xfId="1" applyFont="1" applyBorder="1" applyAlignment="1">
      <alignment horizontal="center" vertical="center" textRotation="90"/>
    </xf>
    <xf numFmtId="0" fontId="8" fillId="0" borderId="10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textRotation="90"/>
    </xf>
    <xf numFmtId="0" fontId="8" fillId="0" borderId="14" xfId="1" applyFont="1" applyBorder="1" applyAlignment="1">
      <alignment horizontal="center" vertical="center"/>
    </xf>
    <xf numFmtId="1" fontId="11" fillId="0" borderId="21" xfId="1" applyNumberFormat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 readingOrder="2"/>
    </xf>
    <xf numFmtId="0" fontId="8" fillId="0" borderId="2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readingOrder="2"/>
    </xf>
    <xf numFmtId="0" fontId="7" fillId="0" borderId="23" xfId="1" applyFont="1" applyBorder="1" applyAlignment="1">
      <alignment horizontal="center" vertical="center" textRotation="90"/>
    </xf>
    <xf numFmtId="1" fontId="11" fillId="4" borderId="24" xfId="1" applyNumberFormat="1" applyFont="1" applyFill="1" applyBorder="1" applyAlignment="1">
      <alignment horizontal="center" vertical="center"/>
    </xf>
    <xf numFmtId="1" fontId="4" fillId="5" borderId="0" xfId="1" applyNumberFormat="1" applyFont="1" applyFill="1"/>
    <xf numFmtId="1" fontId="4" fillId="6" borderId="0" xfId="1" applyNumberFormat="1" applyFont="1" applyFill="1"/>
    <xf numFmtId="0" fontId="7" fillId="0" borderId="1" xfId="1" applyFont="1" applyBorder="1" applyAlignment="1">
      <alignment horizontal="center" vertical="center" textRotation="90"/>
    </xf>
    <xf numFmtId="1" fontId="9" fillId="0" borderId="25" xfId="1" applyNumberFormat="1" applyFont="1" applyBorder="1" applyAlignment="1">
      <alignment horizontal="center" vertical="center"/>
    </xf>
    <xf numFmtId="1" fontId="9" fillId="0" borderId="26" xfId="1" applyNumberFormat="1" applyFont="1" applyBorder="1" applyAlignment="1">
      <alignment horizontal="center" vertical="center"/>
    </xf>
    <xf numFmtId="1" fontId="9" fillId="0" borderId="21" xfId="1" applyNumberFormat="1" applyFont="1" applyBorder="1" applyAlignment="1">
      <alignment horizontal="center" vertical="center"/>
    </xf>
    <xf numFmtId="0" fontId="4" fillId="5" borderId="0" xfId="1" applyFont="1" applyFill="1"/>
    <xf numFmtId="0" fontId="7" fillId="0" borderId="12" xfId="1" applyFont="1" applyBorder="1" applyAlignment="1">
      <alignment horizontal="center" vertical="center" textRotation="90"/>
    </xf>
    <xf numFmtId="1" fontId="9" fillId="0" borderId="27" xfId="1" applyNumberFormat="1" applyFont="1" applyBorder="1" applyAlignment="1">
      <alignment horizontal="center" vertical="center"/>
    </xf>
    <xf numFmtId="1" fontId="9" fillId="0" borderId="28" xfId="1" applyNumberFormat="1" applyFont="1" applyBorder="1" applyAlignment="1">
      <alignment horizontal="center" vertical="center"/>
    </xf>
    <xf numFmtId="1" fontId="9" fillId="2" borderId="28" xfId="1" applyNumberFormat="1" applyFont="1" applyFill="1" applyBorder="1" applyAlignment="1">
      <alignment horizontal="center" vertical="center"/>
    </xf>
    <xf numFmtId="0" fontId="10" fillId="0" borderId="29" xfId="1" applyFont="1" applyBorder="1"/>
    <xf numFmtId="0" fontId="6" fillId="0" borderId="13" xfId="1" applyFont="1" applyBorder="1" applyAlignment="1">
      <alignment horizontal="center" vertical="center" readingOrder="2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textRotation="90"/>
    </xf>
    <xf numFmtId="0" fontId="8" fillId="3" borderId="32" xfId="1" applyFont="1" applyFill="1" applyBorder="1" applyAlignment="1">
      <alignment horizontal="center" vertical="center"/>
    </xf>
    <xf numFmtId="1" fontId="11" fillId="7" borderId="24" xfId="1" applyNumberFormat="1" applyFont="1" applyFill="1" applyBorder="1" applyAlignment="1">
      <alignment horizontal="center" vertical="center"/>
    </xf>
    <xf numFmtId="1" fontId="11" fillId="7" borderId="18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2" fillId="0" borderId="0" xfId="1" applyFont="1"/>
    <xf numFmtId="0" fontId="13" fillId="0" borderId="0" xfId="1" applyFont="1"/>
    <xf numFmtId="0" fontId="4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 vertical="center" wrapText="1"/>
    </xf>
    <xf numFmtId="0" fontId="15" fillId="2" borderId="0" xfId="1" applyFont="1" applyFill="1"/>
    <xf numFmtId="0" fontId="14" fillId="0" borderId="1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4" fillId="0" borderId="4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8" fillId="2" borderId="17" xfId="1" applyFont="1" applyFill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 textRotation="90"/>
    </xf>
    <xf numFmtId="0" fontId="20" fillId="0" borderId="9" xfId="1" applyFont="1" applyBorder="1" applyAlignment="1">
      <alignment horizontal="center" vertical="center"/>
    </xf>
    <xf numFmtId="1" fontId="13" fillId="0" borderId="21" xfId="1" applyNumberFormat="1" applyFont="1" applyBorder="1" applyAlignment="1">
      <alignment horizontal="center" vertical="center"/>
    </xf>
    <xf numFmtId="1" fontId="13" fillId="0" borderId="26" xfId="1" applyNumberFormat="1" applyFont="1" applyBorder="1" applyAlignment="1">
      <alignment horizontal="center" vertical="center"/>
    </xf>
    <xf numFmtId="1" fontId="4" fillId="0" borderId="26" xfId="1" applyNumberFormat="1" applyFont="1" applyBorder="1" applyAlignment="1">
      <alignment horizontal="center" vertical="center"/>
    </xf>
    <xf numFmtId="1" fontId="4" fillId="0" borderId="36" xfId="1" applyNumberFormat="1" applyFont="1" applyBorder="1" applyAlignment="1">
      <alignment horizontal="center" vertical="center"/>
    </xf>
    <xf numFmtId="0" fontId="19" fillId="2" borderId="20" xfId="1" applyFont="1" applyFill="1" applyBorder="1" applyAlignment="1">
      <alignment horizontal="center" vertical="center" textRotation="90"/>
    </xf>
    <xf numFmtId="0" fontId="20" fillId="0" borderId="13" xfId="1" applyFont="1" applyBorder="1" applyAlignment="1">
      <alignment horizontal="center" vertical="center"/>
    </xf>
    <xf numFmtId="1" fontId="4" fillId="0" borderId="37" xfId="1" applyNumberFormat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1" fontId="4" fillId="0" borderId="39" xfId="1" applyNumberFormat="1" applyFont="1" applyBorder="1" applyAlignment="1">
      <alignment horizontal="center" vertical="center"/>
    </xf>
    <xf numFmtId="0" fontId="19" fillId="2" borderId="23" xfId="1" applyFont="1" applyFill="1" applyBorder="1" applyAlignment="1">
      <alignment horizontal="center" vertical="center" textRotation="90"/>
    </xf>
    <xf numFmtId="0" fontId="13" fillId="3" borderId="3" xfId="1" applyFont="1" applyFill="1" applyBorder="1" applyAlignment="1">
      <alignment horizontal="center" vertical="center"/>
    </xf>
    <xf numFmtId="1" fontId="13" fillId="7" borderId="40" xfId="1" applyNumberFormat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textRotation="90"/>
    </xf>
    <xf numFmtId="0" fontId="19" fillId="0" borderId="12" xfId="1" applyFont="1" applyBorder="1" applyAlignment="1">
      <alignment horizontal="center" vertical="center" textRotation="90"/>
    </xf>
    <xf numFmtId="0" fontId="20" fillId="0" borderId="23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 textRotation="90"/>
    </xf>
    <xf numFmtId="0" fontId="13" fillId="3" borderId="17" xfId="1" applyFont="1" applyFill="1" applyBorder="1" applyAlignment="1">
      <alignment horizontal="center" vertical="center"/>
    </xf>
    <xf numFmtId="1" fontId="13" fillId="7" borderId="41" xfId="1" applyNumberFormat="1" applyFont="1" applyFill="1" applyBorder="1" applyAlignment="1">
      <alignment horizontal="center" vertical="center"/>
    </xf>
    <xf numFmtId="1" fontId="13" fillId="7" borderId="18" xfId="1" applyNumberFormat="1" applyFont="1" applyFill="1" applyBorder="1" applyAlignment="1">
      <alignment horizontal="center" vertical="center"/>
    </xf>
    <xf numFmtId="1" fontId="13" fillId="7" borderId="19" xfId="1" applyNumberFormat="1" applyFont="1" applyFill="1" applyBorder="1" applyAlignment="1">
      <alignment horizontal="center" vertical="center"/>
    </xf>
    <xf numFmtId="0" fontId="19" fillId="0" borderId="3" xfId="1" applyFont="1" applyBorder="1" applyAlignment="1">
      <alignment horizontal="center" vertical="center" textRotation="90"/>
    </xf>
    <xf numFmtId="0" fontId="19" fillId="0" borderId="20" xfId="1" applyFont="1" applyBorder="1" applyAlignment="1">
      <alignment horizontal="center" vertical="center" textRotation="90"/>
    </xf>
    <xf numFmtId="0" fontId="20" fillId="0" borderId="20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 textRotation="90"/>
    </xf>
    <xf numFmtId="0" fontId="13" fillId="7" borderId="16" xfId="1" applyFont="1" applyFill="1" applyBorder="1" applyAlignment="1">
      <alignment horizontal="center" vertical="center"/>
    </xf>
    <xf numFmtId="1" fontId="13" fillId="7" borderId="17" xfId="1" applyNumberFormat="1" applyFont="1" applyFill="1" applyBorder="1" applyAlignment="1">
      <alignment horizontal="center" vertical="center"/>
    </xf>
    <xf numFmtId="1" fontId="13" fillId="7" borderId="35" xfId="1" applyNumberFormat="1" applyFont="1" applyFill="1" applyBorder="1" applyAlignment="1">
      <alignment horizontal="center" vertical="center"/>
    </xf>
    <xf numFmtId="0" fontId="13" fillId="0" borderId="33" xfId="1" applyFont="1" applyBorder="1" applyAlignment="1">
      <alignment horizontal="right" vertical="center"/>
    </xf>
    <xf numFmtId="0" fontId="21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</cellXfs>
  <cellStyles count="2">
    <cellStyle name="Normal" xfId="0" builtinId="0"/>
    <cellStyle name="Normal 2" xfId="1" xr:uid="{D945C240-4DE3-43F5-9BA5-1B6FAE3B2A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6591-4C81-4107-85A0-C4C2A15999D2}">
  <sheetPr>
    <tabColor rgb="FF00B050"/>
  </sheetPr>
  <dimension ref="A1:AL101"/>
  <sheetViews>
    <sheetView rightToLeft="1" tabSelected="1" view="pageBreakPreview" zoomScale="59" zoomScaleSheetLayoutView="59" workbookViewId="0">
      <selection sqref="A1:N1"/>
    </sheetView>
  </sheetViews>
  <sheetFormatPr defaultColWidth="9" defaultRowHeight="31.5" customHeight="1"/>
  <cols>
    <col min="1" max="1" width="13.85546875" style="3" customWidth="1"/>
    <col min="2" max="2" width="25.5703125" style="3" customWidth="1"/>
    <col min="3" max="4" width="15.7109375" style="64" bestFit="1" customWidth="1"/>
    <col min="5" max="5" width="15.7109375" style="30" bestFit="1" customWidth="1"/>
    <col min="6" max="10" width="13.7109375" style="3" bestFit="1" customWidth="1"/>
    <col min="11" max="13" width="8.85546875" style="3" customWidth="1"/>
    <col min="14" max="14" width="18" style="3" customWidth="1"/>
    <col min="15" max="15" width="13.140625" style="3" hidden="1" customWidth="1"/>
    <col min="16" max="25" width="12.28515625" style="3" hidden="1" customWidth="1"/>
    <col min="26" max="26" width="19.85546875" style="3" hidden="1" customWidth="1"/>
    <col min="27" max="28" width="12.28515625" style="3" hidden="1" customWidth="1"/>
    <col min="29" max="29" width="12.28515625" style="3" bestFit="1" customWidth="1"/>
    <col min="30" max="36" width="12.28515625" style="3" hidden="1" customWidth="1"/>
    <col min="37" max="40" width="12.28515625" style="3" bestFit="1" customWidth="1"/>
    <col min="41" max="16384" width="9" style="3"/>
  </cols>
  <sheetData>
    <row r="1" spans="1:37" ht="38.25" customHeight="1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Q1" s="4"/>
    </row>
    <row r="2" spans="1:37" ht="25.5" customHeight="1">
      <c r="A2" s="5" t="s">
        <v>1</v>
      </c>
      <c r="B2" s="6"/>
      <c r="C2" s="7" t="s">
        <v>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37" ht="25.5" customHeight="1" thickBot="1">
      <c r="A3" s="9"/>
      <c r="B3" s="10"/>
      <c r="C3" s="11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3" t="s">
        <v>14</v>
      </c>
    </row>
    <row r="4" spans="1:37" ht="27" customHeight="1">
      <c r="A4" s="14" t="s">
        <v>15</v>
      </c>
      <c r="B4" s="15" t="s">
        <v>16</v>
      </c>
      <c r="C4" s="16">
        <f xml:space="preserve"> 41069.253</f>
        <v>41069.252999999997</v>
      </c>
      <c r="D4" s="17">
        <v>56640</v>
      </c>
      <c r="E4" s="17">
        <v>59520</v>
      </c>
      <c r="F4" s="17"/>
      <c r="G4" s="17"/>
      <c r="H4" s="17"/>
      <c r="I4" s="17"/>
      <c r="J4" s="17"/>
      <c r="K4" s="17"/>
      <c r="L4" s="17"/>
      <c r="M4" s="17"/>
      <c r="N4" s="17"/>
      <c r="O4" s="3">
        <v>53520</v>
      </c>
      <c r="P4" s="4">
        <v>54960</v>
      </c>
      <c r="Q4" s="3">
        <v>54240</v>
      </c>
      <c r="R4" s="3">
        <v>56160</v>
      </c>
      <c r="S4" s="3">
        <v>53280</v>
      </c>
      <c r="T4" s="3">
        <v>53280</v>
      </c>
      <c r="U4" s="3">
        <v>50400</v>
      </c>
      <c r="V4" s="3">
        <v>54720</v>
      </c>
      <c r="W4" s="3">
        <v>53040</v>
      </c>
      <c r="X4" s="3">
        <v>51120</v>
      </c>
      <c r="Y4" s="3">
        <v>52320</v>
      </c>
      <c r="Z4" s="18">
        <v>47040</v>
      </c>
      <c r="AD4" s="3">
        <v>49440</v>
      </c>
      <c r="AE4" s="3">
        <v>50400</v>
      </c>
      <c r="AF4" s="3">
        <v>45840</v>
      </c>
      <c r="AG4" s="3">
        <v>48720</v>
      </c>
      <c r="AH4" s="3">
        <v>49051</v>
      </c>
      <c r="AI4" s="3">
        <v>57120</v>
      </c>
      <c r="AJ4" s="3">
        <v>55440</v>
      </c>
      <c r="AK4" s="3">
        <v>56160</v>
      </c>
    </row>
    <row r="5" spans="1:37" ht="27" customHeight="1">
      <c r="A5" s="19"/>
      <c r="B5" s="20" t="s">
        <v>17</v>
      </c>
      <c r="C5" s="21">
        <f xml:space="preserve"> 334176.2298</f>
        <v>334176.22979999997</v>
      </c>
      <c r="D5" s="22">
        <v>455375</v>
      </c>
      <c r="E5" s="22">
        <v>468720</v>
      </c>
      <c r="F5" s="22"/>
      <c r="G5" s="22"/>
      <c r="H5" s="22"/>
      <c r="I5" s="22"/>
      <c r="J5" s="22"/>
      <c r="K5" s="22"/>
      <c r="L5" s="22"/>
      <c r="M5" s="22"/>
      <c r="N5" s="22"/>
      <c r="O5" s="3">
        <v>517920</v>
      </c>
      <c r="P5" s="4">
        <v>499641</v>
      </c>
      <c r="Q5" s="3">
        <v>488640</v>
      </c>
      <c r="R5" s="3">
        <v>467280</v>
      </c>
      <c r="S5" s="3">
        <v>469580</v>
      </c>
      <c r="T5" s="3">
        <v>479856</v>
      </c>
      <c r="U5" s="3">
        <v>478560</v>
      </c>
      <c r="V5" s="3">
        <v>459600</v>
      </c>
      <c r="W5" s="3">
        <v>477840</v>
      </c>
      <c r="X5" s="3">
        <v>486234</v>
      </c>
      <c r="Y5" s="3">
        <v>490808</v>
      </c>
      <c r="Z5" s="18">
        <v>469524</v>
      </c>
      <c r="AD5" s="3">
        <v>516510</v>
      </c>
      <c r="AE5" s="3">
        <v>522240</v>
      </c>
      <c r="AF5" s="3">
        <v>496012</v>
      </c>
      <c r="AG5" s="3">
        <v>517494</v>
      </c>
      <c r="AH5" s="3">
        <v>491202</v>
      </c>
      <c r="AI5" s="3">
        <v>499920</v>
      </c>
      <c r="AJ5" s="3">
        <v>479040</v>
      </c>
      <c r="AK5" s="3">
        <v>470660</v>
      </c>
    </row>
    <row r="6" spans="1:37" ht="27" customHeight="1">
      <c r="A6" s="19"/>
      <c r="B6" s="20" t="s">
        <v>18</v>
      </c>
      <c r="C6" s="21">
        <v>7510</v>
      </c>
      <c r="D6" s="22">
        <v>7480</v>
      </c>
      <c r="E6" s="22">
        <v>0</v>
      </c>
      <c r="F6" s="22"/>
      <c r="G6" s="22"/>
      <c r="H6" s="22"/>
      <c r="I6" s="22"/>
      <c r="J6" s="22"/>
      <c r="K6" s="22"/>
      <c r="L6" s="22"/>
      <c r="M6" s="22"/>
      <c r="N6" s="22"/>
      <c r="O6" s="3">
        <v>2400</v>
      </c>
      <c r="P6" s="4">
        <v>2400</v>
      </c>
      <c r="Q6" s="3">
        <v>3600</v>
      </c>
      <c r="R6" s="3">
        <v>3120</v>
      </c>
      <c r="S6" s="3">
        <v>2640</v>
      </c>
      <c r="T6" s="3">
        <v>3840</v>
      </c>
      <c r="U6" s="3">
        <v>3360</v>
      </c>
      <c r="V6" s="3">
        <v>3120</v>
      </c>
      <c r="W6" s="3">
        <v>4080</v>
      </c>
      <c r="X6" s="3">
        <v>4080</v>
      </c>
      <c r="Y6" s="3">
        <v>5040</v>
      </c>
      <c r="Z6" s="18">
        <v>4800</v>
      </c>
      <c r="AD6" s="3">
        <v>5760</v>
      </c>
      <c r="AE6" s="3">
        <v>4080</v>
      </c>
      <c r="AF6" s="3">
        <v>6480</v>
      </c>
      <c r="AG6" s="3">
        <v>6960</v>
      </c>
      <c r="AH6" s="3">
        <v>7107</v>
      </c>
      <c r="AI6" s="3">
        <v>7200</v>
      </c>
      <c r="AJ6" s="3">
        <v>6720</v>
      </c>
      <c r="AK6" s="3">
        <v>6720</v>
      </c>
    </row>
    <row r="7" spans="1:37" ht="27" customHeight="1">
      <c r="A7" s="19"/>
      <c r="B7" s="20" t="s">
        <v>19</v>
      </c>
      <c r="C7" s="21">
        <v>133920</v>
      </c>
      <c r="D7" s="22">
        <v>126480</v>
      </c>
      <c r="E7" s="22">
        <v>148800</v>
      </c>
      <c r="F7" s="22"/>
      <c r="G7" s="22"/>
      <c r="H7" s="22"/>
      <c r="I7" s="22"/>
      <c r="J7" s="22"/>
      <c r="K7" s="22"/>
      <c r="L7" s="22"/>
      <c r="M7" s="22"/>
      <c r="N7" s="22"/>
      <c r="O7" s="3">
        <v>131280</v>
      </c>
      <c r="P7" s="4">
        <v>133753</v>
      </c>
      <c r="Q7" s="3">
        <v>126960</v>
      </c>
      <c r="R7" s="3">
        <v>131746</v>
      </c>
      <c r="S7" s="3">
        <v>145289</v>
      </c>
      <c r="T7" s="3">
        <v>146145</v>
      </c>
      <c r="U7" s="3">
        <v>134880</v>
      </c>
      <c r="V7" s="3">
        <v>140940</v>
      </c>
      <c r="W7" s="3">
        <v>133200</v>
      </c>
      <c r="X7" s="3">
        <v>122400</v>
      </c>
      <c r="Y7" s="3">
        <v>123640</v>
      </c>
      <c r="Z7" s="18">
        <v>128883</v>
      </c>
      <c r="AD7" s="3">
        <v>132960</v>
      </c>
      <c r="AE7" s="3">
        <v>130155</v>
      </c>
      <c r="AF7" s="3">
        <v>138584</v>
      </c>
      <c r="AG7" s="3">
        <v>135840</v>
      </c>
      <c r="AH7" s="3">
        <v>133231</v>
      </c>
      <c r="AI7" s="3">
        <v>136320</v>
      </c>
      <c r="AJ7" s="3">
        <v>132000</v>
      </c>
      <c r="AK7" s="3">
        <v>119064</v>
      </c>
    </row>
    <row r="8" spans="1:37" ht="27" customHeight="1">
      <c r="A8" s="19"/>
      <c r="B8" s="20" t="s">
        <v>20</v>
      </c>
      <c r="C8" s="21">
        <f xml:space="preserve"> 10560.62</f>
        <v>10560.62</v>
      </c>
      <c r="D8" s="22">
        <v>14880</v>
      </c>
      <c r="E8" s="22">
        <v>14892</v>
      </c>
      <c r="F8" s="22"/>
      <c r="G8" s="22"/>
      <c r="H8" s="22"/>
      <c r="I8" s="22"/>
      <c r="J8" s="22"/>
      <c r="K8" s="22"/>
      <c r="L8" s="22"/>
      <c r="M8" s="22"/>
      <c r="N8" s="22"/>
      <c r="O8" s="3">
        <v>14880</v>
      </c>
      <c r="P8" s="4">
        <v>14880</v>
      </c>
      <c r="Q8" s="3">
        <v>14880</v>
      </c>
      <c r="R8" s="3">
        <v>14880</v>
      </c>
      <c r="S8" s="3">
        <v>14880</v>
      </c>
      <c r="T8" s="3">
        <v>14880</v>
      </c>
      <c r="U8" s="3">
        <v>14400</v>
      </c>
      <c r="V8" s="3">
        <v>14400</v>
      </c>
      <c r="W8" s="3">
        <v>14400</v>
      </c>
      <c r="X8" s="3">
        <v>14400</v>
      </c>
      <c r="Y8" s="3">
        <v>14400</v>
      </c>
      <c r="Z8" s="18">
        <v>13920</v>
      </c>
      <c r="AD8" s="3">
        <v>12960</v>
      </c>
      <c r="AE8" s="3">
        <v>15177</v>
      </c>
      <c r="AF8" s="3">
        <v>13200</v>
      </c>
      <c r="AG8" s="3">
        <v>14640</v>
      </c>
      <c r="AH8" s="3">
        <v>13920</v>
      </c>
      <c r="AI8" s="3">
        <v>14880</v>
      </c>
      <c r="AJ8" s="3">
        <v>13920</v>
      </c>
      <c r="AK8" s="3">
        <v>14400</v>
      </c>
    </row>
    <row r="9" spans="1:37" ht="27" customHeight="1">
      <c r="A9" s="19"/>
      <c r="B9" s="20" t="s">
        <v>21</v>
      </c>
      <c r="C9" s="21">
        <v>66960</v>
      </c>
      <c r="D9" s="22">
        <v>67512</v>
      </c>
      <c r="E9" s="22">
        <v>66381</v>
      </c>
      <c r="F9" s="22"/>
      <c r="G9" s="22"/>
      <c r="H9" s="22"/>
      <c r="I9" s="22"/>
      <c r="J9" s="22"/>
      <c r="K9" s="22"/>
      <c r="L9" s="22"/>
      <c r="M9" s="22"/>
      <c r="N9" s="22"/>
      <c r="O9" s="3">
        <f>24000+37920</f>
        <v>61920</v>
      </c>
      <c r="P9" s="4">
        <f>33360+30480</f>
        <v>63840</v>
      </c>
      <c r="Q9" s="3">
        <f>16560+42240</f>
        <v>58800</v>
      </c>
      <c r="R9" s="3">
        <f>29760+23782</f>
        <v>53542</v>
      </c>
      <c r="S9" s="3">
        <f>30000+25200</f>
        <v>55200</v>
      </c>
      <c r="T9" s="3">
        <f>36000+28560</f>
        <v>64560</v>
      </c>
      <c r="U9" s="3">
        <f>34080+34080</f>
        <v>68160</v>
      </c>
      <c r="V9" s="3">
        <f>27360+43440</f>
        <v>70800</v>
      </c>
      <c r="W9" s="3">
        <f>25920+36000</f>
        <v>61920</v>
      </c>
      <c r="X9" s="3">
        <f>43920+22080</f>
        <v>66000</v>
      </c>
      <c r="Y9" s="3">
        <f>45120+17794</f>
        <v>62914</v>
      </c>
      <c r="Z9" s="18">
        <f>47040+16080</f>
        <v>63120</v>
      </c>
      <c r="AD9" s="3">
        <f>48240+17520</f>
        <v>65760</v>
      </c>
      <c r="AE9" s="3">
        <f>48960+21600</f>
        <v>70560</v>
      </c>
      <c r="AF9" s="3">
        <f>32640+34800</f>
        <v>67440</v>
      </c>
      <c r="AG9" s="3">
        <f>32640+37200</f>
        <v>69840</v>
      </c>
      <c r="AH9" s="3">
        <f>42506+26880</f>
        <v>69386</v>
      </c>
      <c r="AI9" s="3">
        <f>36720+30240</f>
        <v>66960</v>
      </c>
      <c r="AJ9" s="3">
        <f>39360+22080</f>
        <v>61440</v>
      </c>
      <c r="AK9" s="3">
        <f>44880+21120</f>
        <v>66000</v>
      </c>
    </row>
    <row r="10" spans="1:37" ht="27" customHeight="1">
      <c r="A10" s="19"/>
      <c r="B10" s="20" t="s">
        <v>22</v>
      </c>
      <c r="C10" s="21">
        <v>44781</v>
      </c>
      <c r="D10" s="22">
        <v>45325</v>
      </c>
      <c r="E10" s="22">
        <v>38485</v>
      </c>
      <c r="F10" s="22"/>
      <c r="G10" s="22"/>
      <c r="H10" s="22"/>
      <c r="I10" s="22"/>
      <c r="J10" s="22"/>
      <c r="K10" s="22"/>
      <c r="L10" s="22"/>
      <c r="M10" s="22"/>
      <c r="N10" s="22"/>
      <c r="O10" s="3">
        <f>32400+15877</f>
        <v>48277</v>
      </c>
      <c r="P10" s="4">
        <f>39951+14039</f>
        <v>53990</v>
      </c>
      <c r="Q10" s="3">
        <f>31440+25920</f>
        <v>57360</v>
      </c>
      <c r="R10" s="3">
        <f>32640+11040</f>
        <v>43680</v>
      </c>
      <c r="S10" s="3">
        <f>32160+11520</f>
        <v>43680</v>
      </c>
      <c r="T10" s="3">
        <f>32400+13200</f>
        <v>45600</v>
      </c>
      <c r="U10" s="3">
        <f>34800+11040</f>
        <v>45840</v>
      </c>
      <c r="V10" s="3">
        <f>43440+13200</f>
        <v>56640</v>
      </c>
      <c r="W10" s="3">
        <f>32400+15120</f>
        <v>47520</v>
      </c>
      <c r="X10" s="3">
        <f>40800+8880</f>
        <v>49680</v>
      </c>
      <c r="Y10" s="3">
        <f>37200+19200</f>
        <v>56400</v>
      </c>
      <c r="Z10" s="18">
        <f>38160+15360</f>
        <v>53520</v>
      </c>
      <c r="AD10" s="3">
        <f>37680+18240</f>
        <v>55920</v>
      </c>
      <c r="AE10" s="3">
        <f>38789+13920</f>
        <v>52709</v>
      </c>
      <c r="AF10" s="3">
        <f>37200+16080</f>
        <v>53280</v>
      </c>
      <c r="AG10" s="3">
        <f>29040+13680</f>
        <v>42720</v>
      </c>
      <c r="AH10" s="3">
        <f>30209+12433</f>
        <v>42642</v>
      </c>
      <c r="AI10" s="3">
        <f>36000+14640</f>
        <v>50640</v>
      </c>
      <c r="AJ10" s="3">
        <f>24960+19200</f>
        <v>44160</v>
      </c>
      <c r="AK10" s="3">
        <f>35520+21840</f>
        <v>57360</v>
      </c>
    </row>
    <row r="11" spans="1:37" ht="27" customHeight="1">
      <c r="A11" s="19"/>
      <c r="B11" s="20" t="s">
        <v>23</v>
      </c>
      <c r="C11" s="21">
        <v>0</v>
      </c>
      <c r="D11" s="22">
        <v>0</v>
      </c>
      <c r="E11" s="22">
        <v>0</v>
      </c>
      <c r="F11" s="22"/>
      <c r="G11" s="22"/>
      <c r="H11" s="22"/>
      <c r="I11" s="22"/>
      <c r="J11" s="22"/>
      <c r="K11" s="22"/>
      <c r="L11" s="22"/>
      <c r="M11" s="22"/>
      <c r="N11" s="22"/>
      <c r="O11" s="3">
        <f>1200+240</f>
        <v>1440</v>
      </c>
      <c r="P11" s="4">
        <f>240+240</f>
        <v>480</v>
      </c>
      <c r="Q11" s="3">
        <f>240+480+240</f>
        <v>960</v>
      </c>
      <c r="R11" s="3">
        <f>1680+240</f>
        <v>1920</v>
      </c>
      <c r="S11" s="3">
        <f>480+240</f>
        <v>720</v>
      </c>
      <c r="T11" s="3">
        <f>720+480</f>
        <v>1200</v>
      </c>
      <c r="U11" s="3">
        <f>720+720+720</f>
        <v>2160</v>
      </c>
      <c r="V11" s="3">
        <f>720+720</f>
        <v>1440</v>
      </c>
      <c r="W11" s="3">
        <f>480+240</f>
        <v>720</v>
      </c>
      <c r="X11" s="3">
        <f>720+480</f>
        <v>1200</v>
      </c>
      <c r="Y11" s="3">
        <f>240+720+240</f>
        <v>1200</v>
      </c>
      <c r="Z11" s="18">
        <f>240+240+240</f>
        <v>720</v>
      </c>
      <c r="AD11" s="3">
        <f>240+240</f>
        <v>480</v>
      </c>
      <c r="AE11" s="3">
        <f>240+240</f>
        <v>480</v>
      </c>
      <c r="AF11" s="3">
        <f>960+480+480</f>
        <v>1920</v>
      </c>
      <c r="AG11" s="3">
        <f>480+480+480</f>
        <v>1440</v>
      </c>
      <c r="AH11" s="3">
        <f>240+480+1200</f>
        <v>1920</v>
      </c>
      <c r="AI11" s="3">
        <f>240+240+720</f>
        <v>1200</v>
      </c>
      <c r="AJ11" s="3">
        <f>480+5760</f>
        <v>6240</v>
      </c>
      <c r="AK11" s="3">
        <f>480+480+480+240</f>
        <v>1680</v>
      </c>
    </row>
    <row r="12" spans="1:37" ht="27" customHeight="1">
      <c r="A12" s="19"/>
      <c r="B12" s="20" t="s">
        <v>24</v>
      </c>
      <c r="C12" s="21">
        <v>0</v>
      </c>
      <c r="D12" s="22">
        <v>0</v>
      </c>
      <c r="E12" s="22">
        <v>0</v>
      </c>
      <c r="F12" s="22"/>
      <c r="G12" s="22"/>
      <c r="H12" s="22"/>
      <c r="I12" s="22"/>
      <c r="J12" s="22"/>
      <c r="K12" s="22"/>
      <c r="L12" s="22"/>
      <c r="M12" s="22"/>
      <c r="N12" s="22"/>
      <c r="O12" s="3">
        <v>0</v>
      </c>
      <c r="P12" s="4">
        <v>240</v>
      </c>
      <c r="Q12" s="3">
        <v>0</v>
      </c>
      <c r="R12" s="3">
        <v>240</v>
      </c>
      <c r="S12" s="3">
        <v>0</v>
      </c>
      <c r="T12" s="3">
        <v>240</v>
      </c>
      <c r="U12" s="3">
        <v>480</v>
      </c>
      <c r="V12" s="3">
        <v>0</v>
      </c>
      <c r="W12" s="3">
        <v>0</v>
      </c>
      <c r="X12" s="3">
        <v>0</v>
      </c>
      <c r="Y12" s="3">
        <v>0</v>
      </c>
      <c r="Z12" s="18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</row>
    <row r="13" spans="1:37" ht="27" customHeight="1">
      <c r="A13" s="19"/>
      <c r="B13" s="20" t="s">
        <v>25</v>
      </c>
      <c r="C13" s="21">
        <v>0</v>
      </c>
      <c r="D13" s="22">
        <v>0</v>
      </c>
      <c r="E13" s="22">
        <v>0</v>
      </c>
      <c r="F13" s="22"/>
      <c r="G13" s="22"/>
      <c r="H13" s="22"/>
      <c r="I13" s="22"/>
      <c r="J13" s="22"/>
      <c r="K13" s="22"/>
      <c r="L13" s="22"/>
      <c r="M13" s="22"/>
      <c r="N13" s="22"/>
      <c r="O13" s="3">
        <v>0</v>
      </c>
      <c r="P13" s="4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18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</row>
    <row r="14" spans="1:37" ht="27" customHeight="1">
      <c r="A14" s="19"/>
      <c r="B14" s="20" t="s">
        <v>26</v>
      </c>
      <c r="C14" s="21">
        <v>128640</v>
      </c>
      <c r="D14" s="22">
        <v>125040</v>
      </c>
      <c r="E14" s="22">
        <v>126720</v>
      </c>
      <c r="F14" s="22"/>
      <c r="G14" s="22"/>
      <c r="H14" s="22"/>
      <c r="I14" s="22"/>
      <c r="J14" s="22"/>
      <c r="K14" s="22"/>
      <c r="L14" s="22"/>
      <c r="M14" s="22"/>
      <c r="N14" s="22"/>
      <c r="O14" s="3">
        <v>136560</v>
      </c>
      <c r="P14" s="4">
        <v>137040</v>
      </c>
      <c r="Q14" s="3">
        <v>135360</v>
      </c>
      <c r="R14" s="3">
        <v>127920</v>
      </c>
      <c r="S14" s="3">
        <v>131040</v>
      </c>
      <c r="T14" s="3">
        <v>133680</v>
      </c>
      <c r="U14" s="3">
        <v>126000</v>
      </c>
      <c r="V14" s="3">
        <v>128640</v>
      </c>
      <c r="W14" s="3">
        <v>123360</v>
      </c>
      <c r="X14" s="3">
        <v>129360</v>
      </c>
      <c r="Y14" s="3">
        <v>127440</v>
      </c>
      <c r="Z14" s="18">
        <v>124320</v>
      </c>
      <c r="AD14" s="3">
        <v>134640</v>
      </c>
      <c r="AE14" s="3">
        <v>134880</v>
      </c>
      <c r="AF14" s="3">
        <v>131040</v>
      </c>
      <c r="AG14" s="3">
        <v>131280</v>
      </c>
      <c r="AH14" s="3">
        <v>126795</v>
      </c>
      <c r="AI14" s="3">
        <v>132960</v>
      </c>
      <c r="AJ14" s="3">
        <v>132240</v>
      </c>
      <c r="AK14" s="3">
        <v>135120</v>
      </c>
    </row>
    <row r="15" spans="1:37" ht="27" customHeight="1">
      <c r="A15" s="19"/>
      <c r="B15" s="20" t="s">
        <v>27</v>
      </c>
      <c r="C15" s="21">
        <v>0</v>
      </c>
      <c r="D15" s="22">
        <v>0</v>
      </c>
      <c r="E15" s="22">
        <v>0</v>
      </c>
      <c r="F15" s="22"/>
      <c r="G15" s="22"/>
      <c r="H15" s="22"/>
      <c r="I15" s="22"/>
      <c r="J15" s="22"/>
      <c r="K15" s="22"/>
      <c r="L15" s="22"/>
      <c r="M15" s="22"/>
      <c r="N15" s="22"/>
      <c r="O15" s="3">
        <v>0</v>
      </c>
      <c r="P15" s="4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18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</row>
    <row r="16" spans="1:37" ht="27" customHeight="1">
      <c r="A16" s="19"/>
      <c r="B16" s="23" t="s">
        <v>28</v>
      </c>
      <c r="C16" s="21">
        <v>0</v>
      </c>
      <c r="D16" s="22">
        <v>0</v>
      </c>
      <c r="E16" s="22">
        <v>0</v>
      </c>
      <c r="F16" s="22"/>
      <c r="G16" s="22"/>
      <c r="H16" s="22"/>
      <c r="I16" s="22"/>
      <c r="J16" s="22"/>
      <c r="K16" s="22"/>
      <c r="L16" s="22"/>
      <c r="M16" s="22"/>
      <c r="N16" s="22"/>
      <c r="O16" s="4">
        <v>0</v>
      </c>
      <c r="P16" s="4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18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</row>
    <row r="17" spans="1:38" ht="27" customHeight="1">
      <c r="A17" s="19"/>
      <c r="B17" s="20" t="s">
        <v>29</v>
      </c>
      <c r="C17" s="21">
        <v>0</v>
      </c>
      <c r="D17" s="22">
        <v>0</v>
      </c>
      <c r="E17" s="22">
        <v>0</v>
      </c>
      <c r="F17" s="22"/>
      <c r="G17" s="22"/>
      <c r="H17" s="22"/>
      <c r="I17" s="22"/>
      <c r="J17" s="22"/>
      <c r="K17" s="22"/>
      <c r="L17" s="22"/>
      <c r="M17" s="22"/>
      <c r="N17" s="22"/>
      <c r="O17" s="4">
        <v>0</v>
      </c>
      <c r="P17" s="4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240</v>
      </c>
      <c r="Z17" s="18">
        <v>0</v>
      </c>
      <c r="AD17" s="3">
        <v>0</v>
      </c>
      <c r="AE17" s="3">
        <v>0</v>
      </c>
      <c r="AF17" s="3">
        <v>240</v>
      </c>
      <c r="AG17" s="3">
        <v>0</v>
      </c>
      <c r="AH17" s="3">
        <v>0</v>
      </c>
      <c r="AI17" s="3">
        <v>240</v>
      </c>
      <c r="AJ17" s="3">
        <v>0</v>
      </c>
      <c r="AK17" s="3">
        <v>0</v>
      </c>
    </row>
    <row r="18" spans="1:38" ht="27" customHeight="1">
      <c r="A18" s="19"/>
      <c r="B18" s="20" t="s">
        <v>30</v>
      </c>
      <c r="C18" s="21">
        <v>0</v>
      </c>
      <c r="D18" s="22">
        <v>0</v>
      </c>
      <c r="E18" s="22">
        <v>0</v>
      </c>
      <c r="F18" s="22"/>
      <c r="G18" s="22"/>
      <c r="H18" s="22"/>
      <c r="I18" s="22"/>
      <c r="J18" s="22"/>
      <c r="K18" s="22"/>
      <c r="L18" s="22"/>
      <c r="M18" s="22"/>
      <c r="N18" s="24"/>
      <c r="O18" s="4"/>
      <c r="P18" s="4"/>
      <c r="Z18" s="18">
        <v>240</v>
      </c>
      <c r="AD18" s="3">
        <v>0</v>
      </c>
      <c r="AE18" s="3">
        <v>240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</row>
    <row r="19" spans="1:38" ht="27" customHeight="1">
      <c r="A19" s="19"/>
      <c r="B19" s="20" t="s">
        <v>31</v>
      </c>
      <c r="C19" s="21">
        <v>0</v>
      </c>
      <c r="D19" s="22">
        <v>0</v>
      </c>
      <c r="E19" s="22">
        <v>0</v>
      </c>
      <c r="F19" s="22"/>
      <c r="G19" s="22"/>
      <c r="H19" s="22"/>
      <c r="I19" s="22"/>
      <c r="J19" s="22"/>
      <c r="K19" s="22"/>
      <c r="L19" s="22"/>
      <c r="M19" s="22"/>
      <c r="N19" s="24"/>
      <c r="O19" s="4"/>
      <c r="P19" s="4"/>
      <c r="Z19" s="18">
        <v>480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240</v>
      </c>
      <c r="AK19" s="3">
        <v>0</v>
      </c>
    </row>
    <row r="20" spans="1:38" ht="27" customHeight="1">
      <c r="A20" s="19"/>
      <c r="B20" s="20" t="s">
        <v>32</v>
      </c>
      <c r="C20" s="21">
        <v>0</v>
      </c>
      <c r="D20" s="22"/>
      <c r="E20" s="22">
        <v>0</v>
      </c>
      <c r="F20" s="22"/>
      <c r="G20" s="22"/>
      <c r="H20" s="22"/>
      <c r="I20" s="22"/>
      <c r="J20" s="22"/>
      <c r="K20" s="22"/>
      <c r="L20" s="22"/>
      <c r="M20" s="22"/>
      <c r="N20" s="22"/>
      <c r="O20" s="4">
        <v>0</v>
      </c>
      <c r="P20" s="4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18">
        <v>0</v>
      </c>
      <c r="AD20" s="3">
        <v>240</v>
      </c>
      <c r="AE20" s="3">
        <v>0</v>
      </c>
      <c r="AF20" s="3">
        <v>240</v>
      </c>
      <c r="AG20" s="3">
        <v>0</v>
      </c>
      <c r="AH20" s="3">
        <v>240</v>
      </c>
      <c r="AI20" s="3">
        <v>0</v>
      </c>
      <c r="AJ20" s="3">
        <v>0</v>
      </c>
      <c r="AK20" s="3">
        <v>240</v>
      </c>
    </row>
    <row r="21" spans="1:38" ht="27" customHeight="1">
      <c r="A21" s="19"/>
      <c r="B21" s="20" t="s">
        <v>33</v>
      </c>
      <c r="C21" s="21">
        <v>0</v>
      </c>
      <c r="D21" s="22">
        <v>0</v>
      </c>
      <c r="E21" s="22">
        <v>0</v>
      </c>
      <c r="F21" s="22"/>
      <c r="G21" s="22"/>
      <c r="H21" s="22"/>
      <c r="I21" s="22"/>
      <c r="J21" s="22"/>
      <c r="K21" s="22"/>
      <c r="L21" s="22"/>
      <c r="M21" s="22"/>
      <c r="N21" s="22"/>
      <c r="O21" s="4">
        <v>0</v>
      </c>
      <c r="P21" s="4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18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</row>
    <row r="22" spans="1:38" ht="27" customHeight="1" thickBot="1">
      <c r="A22" s="19"/>
      <c r="B22" s="23" t="s">
        <v>34</v>
      </c>
      <c r="C22" s="21">
        <v>0</v>
      </c>
      <c r="D22" s="22">
        <v>0</v>
      </c>
      <c r="E22" s="22">
        <v>0</v>
      </c>
      <c r="F22" s="22"/>
      <c r="G22" s="22"/>
      <c r="H22" s="22"/>
      <c r="I22" s="22"/>
      <c r="J22" s="22"/>
      <c r="K22" s="22"/>
      <c r="L22" s="22"/>
      <c r="M22" s="22"/>
      <c r="N22" s="22"/>
      <c r="O22" s="4">
        <v>0</v>
      </c>
      <c r="P22" s="4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4">
        <v>0</v>
      </c>
      <c r="Y22" s="3">
        <v>0</v>
      </c>
      <c r="Z22" s="18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</row>
    <row r="23" spans="1:38" s="30" customFormat="1" ht="27" customHeight="1" thickBot="1">
      <c r="A23" s="25"/>
      <c r="B23" s="26" t="s">
        <v>35</v>
      </c>
      <c r="C23" s="27">
        <f t="shared" ref="C23:Z23" si="0">SUM(C4:C22)</f>
        <v>767617.10279999999</v>
      </c>
      <c r="D23" s="28">
        <f t="shared" si="0"/>
        <v>898732</v>
      </c>
      <c r="E23" s="28">
        <f t="shared" si="0"/>
        <v>923518</v>
      </c>
      <c r="F23" s="28">
        <f t="shared" si="0"/>
        <v>0</v>
      </c>
      <c r="G23" s="28">
        <f t="shared" si="0"/>
        <v>0</v>
      </c>
      <c r="H23" s="28">
        <f t="shared" si="0"/>
        <v>0</v>
      </c>
      <c r="I23" s="28">
        <f t="shared" si="0"/>
        <v>0</v>
      </c>
      <c r="J23" s="28">
        <f t="shared" si="0"/>
        <v>0</v>
      </c>
      <c r="K23" s="28">
        <f t="shared" si="0"/>
        <v>0</v>
      </c>
      <c r="L23" s="28">
        <f t="shared" si="0"/>
        <v>0</v>
      </c>
      <c r="M23" s="28">
        <f t="shared" si="0"/>
        <v>0</v>
      </c>
      <c r="N23" s="29">
        <f t="shared" si="0"/>
        <v>0</v>
      </c>
      <c r="O23" s="30">
        <f t="shared" si="0"/>
        <v>968197</v>
      </c>
      <c r="P23" s="30">
        <f t="shared" si="0"/>
        <v>961224</v>
      </c>
      <c r="Q23" s="30">
        <f t="shared" si="0"/>
        <v>940800</v>
      </c>
      <c r="R23" s="31">
        <f t="shared" si="0"/>
        <v>900488</v>
      </c>
      <c r="S23" s="31">
        <f t="shared" si="0"/>
        <v>916309</v>
      </c>
      <c r="T23" s="31">
        <f t="shared" si="0"/>
        <v>943281</v>
      </c>
      <c r="U23" s="31">
        <f t="shared" si="0"/>
        <v>924240</v>
      </c>
      <c r="V23" s="31">
        <f t="shared" si="0"/>
        <v>930300</v>
      </c>
      <c r="W23" s="31">
        <f t="shared" si="0"/>
        <v>916080</v>
      </c>
      <c r="X23" s="31">
        <f t="shared" si="0"/>
        <v>924474</v>
      </c>
      <c r="Y23" s="31">
        <f t="shared" si="0"/>
        <v>934402</v>
      </c>
      <c r="Z23" s="32">
        <f t="shared" si="0"/>
        <v>906567</v>
      </c>
      <c r="AA23" s="30">
        <v>906567</v>
      </c>
      <c r="AB23" s="30">
        <f>+AA23-Z23</f>
        <v>0</v>
      </c>
      <c r="AD23" s="30">
        <f t="shared" ref="AD23:AI23" si="1">SUM(AD4:AD22)</f>
        <v>974670</v>
      </c>
      <c r="AE23" s="30">
        <f t="shared" si="1"/>
        <v>980921</v>
      </c>
      <c r="AF23" s="30">
        <f t="shared" si="1"/>
        <v>954276</v>
      </c>
      <c r="AG23" s="30">
        <f t="shared" si="1"/>
        <v>968934</v>
      </c>
      <c r="AH23" s="30">
        <f t="shared" si="1"/>
        <v>935494</v>
      </c>
      <c r="AI23" s="30">
        <f t="shared" si="1"/>
        <v>967440</v>
      </c>
      <c r="AJ23" s="30">
        <f>SUM(AJ4:AJ22)</f>
        <v>931440</v>
      </c>
      <c r="AK23" s="30">
        <f>SUM(AK4:AK22)</f>
        <v>927404</v>
      </c>
      <c r="AL23" s="30">
        <f>+AK23/30</f>
        <v>30913.466666666667</v>
      </c>
    </row>
    <row r="24" spans="1:38" ht="27" customHeight="1">
      <c r="A24" s="33" t="s">
        <v>36</v>
      </c>
      <c r="B24" s="34" t="s">
        <v>20</v>
      </c>
      <c r="C24" s="16">
        <v>0</v>
      </c>
      <c r="D24" s="17">
        <v>0</v>
      </c>
      <c r="E24" s="17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4">
        <v>0</v>
      </c>
      <c r="X24" s="3">
        <v>3</v>
      </c>
      <c r="Y24" s="3">
        <v>0</v>
      </c>
      <c r="Z24" s="18">
        <v>0</v>
      </c>
      <c r="AA24" s="3">
        <f>+AA23/29</f>
        <v>31260.931034482757</v>
      </c>
      <c r="AD24" s="3">
        <v>98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</row>
    <row r="25" spans="1:38" ht="27" customHeight="1">
      <c r="A25" s="35"/>
      <c r="B25" s="36" t="s">
        <v>17</v>
      </c>
      <c r="C25" s="21">
        <f xml:space="preserve"> 48279.85</f>
        <v>48279.85</v>
      </c>
      <c r="D25" s="22">
        <v>50024</v>
      </c>
      <c r="E25" s="22">
        <v>47740</v>
      </c>
      <c r="F25" s="22"/>
      <c r="G25" s="22"/>
      <c r="H25" s="22"/>
      <c r="I25" s="22"/>
      <c r="J25" s="22"/>
      <c r="K25" s="22"/>
      <c r="L25" s="22"/>
      <c r="M25" s="22"/>
      <c r="N25" s="22"/>
      <c r="O25" s="37">
        <f>35137+4107</f>
        <v>39244</v>
      </c>
      <c r="P25" s="4">
        <f>31047+5031</f>
        <v>36078</v>
      </c>
      <c r="Q25" s="3">
        <f>34759+5279</f>
        <v>40038</v>
      </c>
      <c r="R25" s="3">
        <f>43777+2300</f>
        <v>46077</v>
      </c>
      <c r="S25" s="3">
        <f>33645+4091</f>
        <v>37736</v>
      </c>
      <c r="T25" s="3">
        <f>29559+4258</f>
        <v>33817</v>
      </c>
      <c r="U25" s="3">
        <f>34594+3110</f>
        <v>37704</v>
      </c>
      <c r="V25" s="3">
        <f>34233+4086</f>
        <v>38319</v>
      </c>
      <c r="W25" s="3">
        <f>21385+5058</f>
        <v>26443</v>
      </c>
      <c r="X25" s="3">
        <f>31869+5306</f>
        <v>37175</v>
      </c>
      <c r="Y25" s="3">
        <f>25629+4986</f>
        <v>30615</v>
      </c>
      <c r="Z25" s="18">
        <f>24266+5077</f>
        <v>29343</v>
      </c>
      <c r="AD25" s="3">
        <f>35030+4797</f>
        <v>39827</v>
      </c>
      <c r="AE25" s="3">
        <f>25425+5791</f>
        <v>31216</v>
      </c>
      <c r="AF25" s="3">
        <f>30859+4961</f>
        <v>35820</v>
      </c>
      <c r="AG25" s="3">
        <f>33051+3014</f>
        <v>36065</v>
      </c>
      <c r="AH25" s="3">
        <f>25567+4819</f>
        <v>30386</v>
      </c>
      <c r="AI25" s="3">
        <f>18967+2618</f>
        <v>21585</v>
      </c>
      <c r="AJ25" s="3">
        <f>32932+2843</f>
        <v>35775</v>
      </c>
      <c r="AK25" s="3">
        <f>39833+5197</f>
        <v>45030</v>
      </c>
    </row>
    <row r="26" spans="1:38" ht="27" customHeight="1">
      <c r="A26" s="35"/>
      <c r="B26" s="36" t="s">
        <v>18</v>
      </c>
      <c r="C26" s="21">
        <f xml:space="preserve"> 5280.31</f>
        <v>5280.31</v>
      </c>
      <c r="D26" s="22">
        <v>7440</v>
      </c>
      <c r="E26" s="22">
        <v>0</v>
      </c>
      <c r="F26" s="22"/>
      <c r="G26" s="22"/>
      <c r="H26" s="22"/>
      <c r="I26" s="22"/>
      <c r="J26" s="22"/>
      <c r="K26" s="22"/>
      <c r="L26" s="22"/>
      <c r="M26" s="22"/>
      <c r="N26" s="22"/>
      <c r="O26" s="3">
        <v>4028</v>
      </c>
      <c r="P26" s="3">
        <v>3608</v>
      </c>
      <c r="Q26" s="3">
        <v>2656</v>
      </c>
      <c r="R26" s="3">
        <v>2768</v>
      </c>
      <c r="S26" s="3">
        <v>3158</v>
      </c>
      <c r="T26" s="3">
        <v>3358</v>
      </c>
      <c r="U26" s="3">
        <v>3865</v>
      </c>
      <c r="V26" s="3">
        <v>3806</v>
      </c>
      <c r="W26" s="3">
        <v>3158</v>
      </c>
      <c r="X26" s="3">
        <v>2894</v>
      </c>
      <c r="Y26" s="3">
        <v>1916</v>
      </c>
      <c r="Z26" s="18">
        <v>1923</v>
      </c>
      <c r="AD26" s="3">
        <v>1507</v>
      </c>
      <c r="AE26" s="3">
        <v>1901</v>
      </c>
      <c r="AF26" s="3">
        <v>758</v>
      </c>
      <c r="AG26" s="3">
        <v>247</v>
      </c>
      <c r="AH26" s="3">
        <v>0</v>
      </c>
      <c r="AI26" s="3">
        <f>41+0</f>
        <v>41</v>
      </c>
      <c r="AJ26" s="3">
        <v>434</v>
      </c>
      <c r="AK26" s="3">
        <v>451</v>
      </c>
    </row>
    <row r="27" spans="1:38" ht="27" customHeight="1">
      <c r="A27" s="35"/>
      <c r="B27" s="36" t="s">
        <v>19</v>
      </c>
      <c r="C27" s="21">
        <v>25460</v>
      </c>
      <c r="D27" s="22">
        <v>44460</v>
      </c>
      <c r="E27" s="22">
        <v>34200</v>
      </c>
      <c r="F27" s="22"/>
      <c r="G27" s="22"/>
      <c r="H27" s="22"/>
      <c r="I27" s="22"/>
      <c r="J27" s="22"/>
      <c r="K27" s="22"/>
      <c r="L27" s="22"/>
      <c r="M27" s="22"/>
      <c r="N27" s="22"/>
      <c r="O27" s="3">
        <f>8516+18715</f>
        <v>27231</v>
      </c>
      <c r="P27" s="4">
        <f>212+32350</f>
        <v>32562</v>
      </c>
      <c r="Q27" s="3">
        <f>762+29047</f>
        <v>29809</v>
      </c>
      <c r="R27" s="3">
        <f>20+19909</f>
        <v>19929</v>
      </c>
      <c r="S27" s="3">
        <f>232+27244</f>
        <v>27476</v>
      </c>
      <c r="T27" s="3">
        <f>544+16681</f>
        <v>17225</v>
      </c>
      <c r="U27" s="3">
        <f>766+16309</f>
        <v>17075</v>
      </c>
      <c r="V27" s="3">
        <f>497+33502</f>
        <v>33999</v>
      </c>
      <c r="W27" s="3">
        <f>916+36274</f>
        <v>37190</v>
      </c>
      <c r="X27" s="3">
        <v>41168</v>
      </c>
      <c r="Y27" s="3">
        <f>3360+51452</f>
        <v>54812</v>
      </c>
      <c r="Z27" s="18">
        <f>534+43411</f>
        <v>43945</v>
      </c>
      <c r="AD27" s="3">
        <f>331+52103</f>
        <v>52434</v>
      </c>
      <c r="AE27" s="3">
        <f>443+53201</f>
        <v>53644</v>
      </c>
      <c r="AF27" s="3">
        <f>51+41839</f>
        <v>41890</v>
      </c>
      <c r="AG27" s="3">
        <f>213+31418</f>
        <v>31631</v>
      </c>
      <c r="AH27" s="3">
        <v>25527</v>
      </c>
      <c r="AI27" s="3">
        <f>290+24783</f>
        <v>25073</v>
      </c>
      <c r="AJ27" s="3">
        <v>20137</v>
      </c>
      <c r="AK27" s="3">
        <f>288+22085</f>
        <v>22373</v>
      </c>
    </row>
    <row r="28" spans="1:38" ht="27" customHeight="1">
      <c r="A28" s="35"/>
      <c r="B28" s="36" t="s">
        <v>22</v>
      </c>
      <c r="C28" s="21">
        <v>1095540</v>
      </c>
      <c r="D28" s="22">
        <v>930620</v>
      </c>
      <c r="E28" s="22">
        <v>1013080</v>
      </c>
      <c r="F28" s="22"/>
      <c r="G28" s="22"/>
      <c r="H28" s="22"/>
      <c r="I28" s="22"/>
      <c r="J28" s="22"/>
      <c r="K28" s="22"/>
      <c r="L28" s="22"/>
      <c r="M28" s="22"/>
      <c r="N28" s="22"/>
      <c r="O28" s="3">
        <f>1082381+526681+35223+14415</f>
        <v>1658700</v>
      </c>
      <c r="P28" s="4">
        <f>1144942+526516+32183+11601</f>
        <v>1715242</v>
      </c>
      <c r="Q28" s="3">
        <f>1075986+490845+31426+7674</f>
        <v>1605931</v>
      </c>
      <c r="R28" s="3">
        <f>856390+501507+30162+12496</f>
        <v>1400555</v>
      </c>
      <c r="S28" s="3">
        <f>876981+480570+41597+12291</f>
        <v>1411439</v>
      </c>
      <c r="T28" s="3">
        <f>898379+477958+45986+15618</f>
        <v>1437941</v>
      </c>
      <c r="U28" s="3">
        <f>970492+512084+47157+12782</f>
        <v>1542515</v>
      </c>
      <c r="V28" s="3">
        <f>954362+471691+44243+20421</f>
        <v>1490717</v>
      </c>
      <c r="W28" s="3">
        <f>986676+482658+43892+19794</f>
        <v>1533020</v>
      </c>
      <c r="X28" s="3">
        <f>1032669+519395+46984+9846</f>
        <v>1608894</v>
      </c>
      <c r="Y28" s="3">
        <f>925458+480411+46175+19643</f>
        <v>1471687</v>
      </c>
      <c r="Z28" s="18">
        <f>806919+426433+41423+20473</f>
        <v>1295248</v>
      </c>
      <c r="AD28" s="3">
        <f>1028026+497966+66633+17588</f>
        <v>1610213</v>
      </c>
      <c r="AE28" s="3">
        <f>863754+504148+58456+16571</f>
        <v>1442929</v>
      </c>
      <c r="AF28" s="3">
        <f>887594+501482+55239+21831</f>
        <v>1466146</v>
      </c>
      <c r="AG28" s="3">
        <f>987717+513694+66676+21114</f>
        <v>1589201</v>
      </c>
      <c r="AH28" s="3">
        <f>1022610+480343+48440+41568</f>
        <v>1592961</v>
      </c>
      <c r="AI28" s="3">
        <f>992011+523133+75349+24898</f>
        <v>1615391</v>
      </c>
      <c r="AJ28" s="3">
        <f>1008029+506678+72186+23609</f>
        <v>1610502</v>
      </c>
      <c r="AK28" s="3">
        <f>876769+512212+47263+32656</f>
        <v>1468900</v>
      </c>
    </row>
    <row r="29" spans="1:38" ht="27" customHeight="1">
      <c r="A29" s="35"/>
      <c r="B29" s="36" t="s">
        <v>23</v>
      </c>
      <c r="C29" s="21">
        <v>730360</v>
      </c>
      <c r="D29" s="22">
        <v>918840</v>
      </c>
      <c r="E29" s="22">
        <v>753920</v>
      </c>
      <c r="F29" s="22"/>
      <c r="G29" s="22"/>
      <c r="H29" s="22"/>
      <c r="I29" s="22"/>
      <c r="J29" s="22"/>
      <c r="K29" s="22"/>
      <c r="L29" s="22"/>
      <c r="M29" s="22"/>
      <c r="N29" s="22"/>
      <c r="O29" s="3">
        <f>130583+255455+380896+876</f>
        <v>767810</v>
      </c>
      <c r="P29" s="4">
        <f>354182+252604+142240</f>
        <v>749026</v>
      </c>
      <c r="Q29" s="3">
        <f>331520+258790+125714+1249</f>
        <v>717273</v>
      </c>
      <c r="R29" s="3">
        <f>295629+241160+107687+2109</f>
        <v>646585</v>
      </c>
      <c r="S29" s="3">
        <f>334044+239311+108611+310+488</f>
        <v>682764</v>
      </c>
      <c r="T29" s="3">
        <f>372904+250236+111246+1488+239+660</f>
        <v>736773</v>
      </c>
      <c r="U29" s="3">
        <f>369885+269182+127721</f>
        <v>766788</v>
      </c>
      <c r="V29" s="3">
        <f>385013+269269+133108+2074+1047+789</f>
        <v>791300</v>
      </c>
      <c r="W29" s="3">
        <f>11993+141868+258898+365993+1554+520</f>
        <v>780826</v>
      </c>
      <c r="X29" s="3">
        <f>346032+267698+119970+23762+483+787</f>
        <v>758732</v>
      </c>
      <c r="Y29" s="3">
        <f>353853+266724+116491+22312+706+466+242+156</f>
        <v>760950</v>
      </c>
      <c r="Z29" s="18">
        <f>328058+244273+113115+20774+955+1200+578</f>
        <v>708953</v>
      </c>
      <c r="AD29" s="3">
        <f>377870+290887+151865+20892+2074+633+1988</f>
        <v>846209</v>
      </c>
      <c r="AE29" s="3">
        <f>367791+275513+147150+15705+393+803+379</f>
        <v>807734</v>
      </c>
      <c r="AF29" s="3">
        <f>370133+267610+139876+1431+1519+1314+17550</f>
        <v>799433</v>
      </c>
      <c r="AG29" s="3">
        <f>261792+226690+122898+16415+3594+302</f>
        <v>631691</v>
      </c>
      <c r="AH29" s="3">
        <f>329281+271833+127883+6387+1484</f>
        <v>736868</v>
      </c>
      <c r="AI29" s="3">
        <f>304956+285893+124909+11855+445</f>
        <v>728058</v>
      </c>
      <c r="AJ29" s="3">
        <f>7454+129040+300120+361850+676</f>
        <v>799140</v>
      </c>
      <c r="AK29" s="3">
        <f>356359+305598+146741+8872+0+326+352+352</f>
        <v>818600</v>
      </c>
    </row>
    <row r="30" spans="1:38" ht="27" customHeight="1">
      <c r="A30" s="35"/>
      <c r="B30" s="38" t="s">
        <v>33</v>
      </c>
      <c r="C30" s="21">
        <f xml:space="preserve"> 25766.57</f>
        <v>25766.57</v>
      </c>
      <c r="D30" s="22">
        <v>37026</v>
      </c>
      <c r="E30" s="22">
        <v>35357</v>
      </c>
      <c r="F30" s="22"/>
      <c r="G30" s="22"/>
      <c r="H30" s="22"/>
      <c r="I30" s="22"/>
      <c r="J30" s="22"/>
      <c r="K30" s="22"/>
      <c r="L30" s="22"/>
      <c r="M30" s="22"/>
      <c r="N30" s="22"/>
      <c r="O30" s="3">
        <v>6070</v>
      </c>
      <c r="P30" s="4">
        <v>12189</v>
      </c>
      <c r="Q30" s="3">
        <v>20476</v>
      </c>
      <c r="R30" s="3">
        <v>33385</v>
      </c>
      <c r="S30" s="3">
        <v>22166</v>
      </c>
      <c r="T30" s="3">
        <v>23257</v>
      </c>
      <c r="U30" s="3">
        <v>25852</v>
      </c>
      <c r="V30" s="3">
        <v>32490</v>
      </c>
      <c r="W30" s="3">
        <v>25816</v>
      </c>
      <c r="X30" s="3">
        <v>28804</v>
      </c>
      <c r="Y30" s="3">
        <v>29086</v>
      </c>
      <c r="Z30" s="18">
        <v>23725</v>
      </c>
      <c r="AD30" s="3">
        <v>32097</v>
      </c>
      <c r="AE30" s="3">
        <v>26444</v>
      </c>
      <c r="AF30" s="3">
        <v>23675</v>
      </c>
      <c r="AG30" s="3">
        <f>12477+0</f>
        <v>12477</v>
      </c>
      <c r="AH30" s="3">
        <v>29260</v>
      </c>
      <c r="AI30" s="3">
        <f>32179+0</f>
        <v>32179</v>
      </c>
      <c r="AJ30" s="3">
        <v>30011</v>
      </c>
      <c r="AK30" s="3">
        <f>31521+0</f>
        <v>31521</v>
      </c>
    </row>
    <row r="31" spans="1:38" ht="27" customHeight="1">
      <c r="A31" s="35"/>
      <c r="B31" s="36" t="s">
        <v>27</v>
      </c>
      <c r="C31" s="21">
        <f>12867.32</f>
        <v>12867.32</v>
      </c>
      <c r="D31" s="22">
        <v>18375</v>
      </c>
      <c r="E31" s="22">
        <v>0</v>
      </c>
      <c r="F31" s="22"/>
      <c r="G31" s="22"/>
      <c r="H31" s="22"/>
      <c r="I31" s="22"/>
      <c r="J31" s="22"/>
      <c r="K31" s="22"/>
      <c r="L31" s="22"/>
      <c r="M31" s="22"/>
      <c r="N31" s="22"/>
      <c r="O31" s="3">
        <v>2034</v>
      </c>
      <c r="P31" s="4">
        <v>448</v>
      </c>
      <c r="Q31" s="3">
        <v>594</v>
      </c>
      <c r="R31" s="3">
        <v>1123</v>
      </c>
      <c r="S31" s="3">
        <v>1256</v>
      </c>
      <c r="T31" s="3">
        <v>0</v>
      </c>
      <c r="U31" s="3">
        <v>98</v>
      </c>
      <c r="V31" s="3">
        <v>362</v>
      </c>
      <c r="W31" s="3">
        <v>400</v>
      </c>
      <c r="X31" s="3">
        <v>473</v>
      </c>
      <c r="Y31" s="3">
        <v>0</v>
      </c>
      <c r="Z31" s="18">
        <v>0</v>
      </c>
      <c r="AD31" s="3">
        <v>394</v>
      </c>
      <c r="AE31" s="3">
        <v>294</v>
      </c>
      <c r="AF31" s="3">
        <v>0</v>
      </c>
      <c r="AG31" s="3">
        <v>253</v>
      </c>
      <c r="AH31" s="3">
        <v>1759</v>
      </c>
      <c r="AI31" s="3">
        <v>735</v>
      </c>
      <c r="AJ31" s="3">
        <v>0</v>
      </c>
      <c r="AK31" s="3">
        <v>128</v>
      </c>
    </row>
    <row r="32" spans="1:38" ht="27" customHeight="1">
      <c r="A32" s="35"/>
      <c r="B32" s="36" t="s">
        <v>21</v>
      </c>
      <c r="C32" s="21">
        <f xml:space="preserve"> 288277.1277</f>
        <v>288277.12770000001</v>
      </c>
      <c r="D32" s="22">
        <v>381875</v>
      </c>
      <c r="E32" s="22">
        <v>375148</v>
      </c>
      <c r="F32" s="22"/>
      <c r="G32" s="22"/>
      <c r="H32" s="22"/>
      <c r="I32" s="22"/>
      <c r="J32" s="22"/>
      <c r="K32" s="22"/>
      <c r="L32" s="22"/>
      <c r="M32" s="22"/>
      <c r="N32" s="22"/>
      <c r="O32" s="3">
        <f>282572+67093+24910+515</f>
        <v>375090</v>
      </c>
      <c r="P32" s="4">
        <f>285029+89369+20776+494</f>
        <v>395668</v>
      </c>
      <c r="Q32" s="3">
        <f>269132+49692+27241+22</f>
        <v>346087</v>
      </c>
      <c r="R32" s="3">
        <f>265874+83295+8437+524</f>
        <v>358130</v>
      </c>
      <c r="S32" s="3">
        <f>243600+86251+12100+128</f>
        <v>342079</v>
      </c>
      <c r="T32" s="3">
        <f>243529+80690+6799+381</f>
        <v>331399</v>
      </c>
      <c r="U32" s="3">
        <f>248083+69217+1094+2007</f>
        <v>320401</v>
      </c>
      <c r="V32" s="3">
        <f>269837+59715+3881+361</f>
        <v>333794</v>
      </c>
      <c r="W32" s="3">
        <f>262443+65325+10409+1580</f>
        <v>339757</v>
      </c>
      <c r="X32" s="3">
        <f>228174+83302+10302+2144</f>
        <v>323922</v>
      </c>
      <c r="Y32" s="3">
        <f>260758+71652+193+9588</f>
        <v>342191</v>
      </c>
      <c r="Z32" s="18">
        <f>214692+83098+10602+1797</f>
        <v>310189</v>
      </c>
      <c r="AD32" s="3">
        <f>255038+103697+2874+1180</f>
        <v>362789</v>
      </c>
      <c r="AE32" s="3">
        <f>224375+90272+5912+1229</f>
        <v>321788</v>
      </c>
      <c r="AF32" s="3">
        <f>256080+60369+13932+448</f>
        <v>330829</v>
      </c>
      <c r="AG32" s="3">
        <f>259025+51456+10967+144</f>
        <v>321592</v>
      </c>
      <c r="AH32" s="3">
        <f>221054+81314+11695+2042</f>
        <v>316105</v>
      </c>
      <c r="AI32" s="3">
        <f>228824+70520+7159+2227</f>
        <v>308730</v>
      </c>
      <c r="AJ32" s="3">
        <f>226209+71748+4536+4028</f>
        <v>306521</v>
      </c>
      <c r="AK32" s="3">
        <f>213768+88435+10998+5417</f>
        <v>318618</v>
      </c>
    </row>
    <row r="33" spans="1:38" ht="27" customHeight="1">
      <c r="A33" s="35"/>
      <c r="B33" s="36" t="s">
        <v>24</v>
      </c>
      <c r="C33" s="21">
        <f xml:space="preserve"> 123431.1498</f>
        <v>123431.1498</v>
      </c>
      <c r="D33" s="22">
        <v>150081</v>
      </c>
      <c r="E33" s="22">
        <v>159830</v>
      </c>
      <c r="F33" s="22"/>
      <c r="G33" s="22"/>
      <c r="H33" s="22"/>
      <c r="I33" s="22"/>
      <c r="J33" s="22"/>
      <c r="K33" s="22"/>
      <c r="L33" s="22"/>
      <c r="M33" s="22"/>
      <c r="N33" s="22"/>
      <c r="O33" s="3">
        <f>340016+7792</f>
        <v>347808</v>
      </c>
      <c r="P33" s="4">
        <f>329312+9159</f>
        <v>338471</v>
      </c>
      <c r="Q33" s="3">
        <f>278566+10822</f>
        <v>289388</v>
      </c>
      <c r="R33" s="3">
        <f>260732+8320</f>
        <v>269052</v>
      </c>
      <c r="S33" s="3">
        <f>282176+9099</f>
        <v>291275</v>
      </c>
      <c r="T33" s="3">
        <f>306901+9744</f>
        <v>316645</v>
      </c>
      <c r="U33" s="3">
        <f>306896+8992</f>
        <v>315888</v>
      </c>
      <c r="V33" s="3">
        <f>292859+8113</f>
        <v>300972</v>
      </c>
      <c r="W33" s="3">
        <f>282620+11564</f>
        <v>294184</v>
      </c>
      <c r="X33" s="3">
        <f>246177+9847</f>
        <v>256024</v>
      </c>
      <c r="Y33" s="3">
        <f>221546+7453</f>
        <v>228999</v>
      </c>
      <c r="Z33" s="18">
        <f>221768+5661</f>
        <v>227429</v>
      </c>
      <c r="AD33" s="3">
        <f>207180+8799</f>
        <v>215979</v>
      </c>
      <c r="AE33" s="3">
        <f>194988+7982</f>
        <v>202970</v>
      </c>
      <c r="AF33" s="3">
        <f>202101+6850</f>
        <v>208951</v>
      </c>
      <c r="AG33" s="3">
        <f>209863+6840</f>
        <v>216703</v>
      </c>
      <c r="AH33" s="3">
        <f>232569+3306</f>
        <v>235875</v>
      </c>
      <c r="AI33" s="3">
        <f>187231+6959</f>
        <v>194190</v>
      </c>
      <c r="AJ33" s="3">
        <f>195697+6483</f>
        <v>202180</v>
      </c>
      <c r="AK33" s="3">
        <f>191536+6754</f>
        <v>198290</v>
      </c>
    </row>
    <row r="34" spans="1:38" ht="27" customHeight="1">
      <c r="A34" s="35"/>
      <c r="B34" s="36" t="s">
        <v>25</v>
      </c>
      <c r="C34" s="21">
        <v>0</v>
      </c>
      <c r="D34" s="22">
        <v>0</v>
      </c>
      <c r="E34" s="22">
        <v>0</v>
      </c>
      <c r="F34" s="22"/>
      <c r="G34" s="22"/>
      <c r="H34" s="22"/>
      <c r="I34" s="22"/>
      <c r="J34" s="22"/>
      <c r="K34" s="22"/>
      <c r="L34" s="22"/>
      <c r="M34" s="22"/>
      <c r="N34" s="22"/>
      <c r="O34" s="3">
        <v>4996</v>
      </c>
      <c r="P34" s="4">
        <v>0</v>
      </c>
      <c r="Q34" s="3">
        <v>0</v>
      </c>
      <c r="R34" s="3">
        <v>1117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18">
        <v>0</v>
      </c>
      <c r="AD34" s="3">
        <v>541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</row>
    <row r="35" spans="1:38" ht="27" customHeight="1">
      <c r="A35" s="35"/>
      <c r="B35" s="23" t="s">
        <v>28</v>
      </c>
      <c r="C35" s="21">
        <f xml:space="preserve"> 92295.2</f>
        <v>92295.2</v>
      </c>
      <c r="D35" s="22">
        <v>128476</v>
      </c>
      <c r="E35" s="22">
        <v>170240</v>
      </c>
      <c r="F35" s="22"/>
      <c r="G35" s="22"/>
      <c r="H35" s="22"/>
      <c r="I35" s="22"/>
      <c r="J35" s="22"/>
      <c r="K35" s="22"/>
      <c r="L35" s="22"/>
      <c r="M35" s="22"/>
      <c r="N35" s="22"/>
      <c r="O35" s="3">
        <v>181903</v>
      </c>
      <c r="P35" s="4">
        <v>168682</v>
      </c>
      <c r="Q35" s="3">
        <v>156834</v>
      </c>
      <c r="R35" s="3">
        <v>173633</v>
      </c>
      <c r="S35" s="3">
        <v>166168</v>
      </c>
      <c r="T35" s="3">
        <v>169096</v>
      </c>
      <c r="U35" s="3">
        <v>155712</v>
      </c>
      <c r="V35" s="3">
        <v>158702</v>
      </c>
      <c r="W35" s="3">
        <v>169391</v>
      </c>
      <c r="X35" s="3">
        <v>169981</v>
      </c>
      <c r="Y35" s="3">
        <v>166141</v>
      </c>
      <c r="Z35" s="18">
        <v>149184</v>
      </c>
      <c r="AD35" s="3">
        <f>141860+391</f>
        <v>142251</v>
      </c>
      <c r="AE35" s="3">
        <v>119856</v>
      </c>
      <c r="AF35" s="3">
        <f>175756+461</f>
        <v>176217</v>
      </c>
      <c r="AG35" s="3">
        <f>108235+0</f>
        <v>108235</v>
      </c>
      <c r="AH35" s="3">
        <v>116444</v>
      </c>
      <c r="AI35" s="3">
        <v>120488</v>
      </c>
      <c r="AJ35" s="3">
        <v>128241</v>
      </c>
      <c r="AK35" s="3">
        <v>131982</v>
      </c>
    </row>
    <row r="36" spans="1:38" ht="27" customHeight="1">
      <c r="A36" s="35"/>
      <c r="B36" s="36" t="s">
        <v>37</v>
      </c>
      <c r="C36" s="21">
        <f xml:space="preserve"> 35633.1</f>
        <v>35633.1</v>
      </c>
      <c r="D36" s="22">
        <v>42657</v>
      </c>
      <c r="E36" s="22">
        <v>52341</v>
      </c>
      <c r="F36" s="22"/>
      <c r="G36" s="22"/>
      <c r="H36" s="22"/>
      <c r="I36" s="22"/>
      <c r="J36" s="22"/>
      <c r="K36" s="22"/>
      <c r="L36" s="22"/>
      <c r="M36" s="22"/>
      <c r="N36" s="22"/>
      <c r="O36" s="3">
        <v>58523</v>
      </c>
      <c r="P36" s="4">
        <v>47758</v>
      </c>
      <c r="Q36" s="3">
        <v>49103</v>
      </c>
      <c r="R36" s="3">
        <v>59279</v>
      </c>
      <c r="S36" s="3">
        <v>58440</v>
      </c>
      <c r="T36" s="3">
        <v>52495</v>
      </c>
      <c r="U36" s="3">
        <v>54491</v>
      </c>
      <c r="V36" s="3">
        <v>62655</v>
      </c>
      <c r="W36" s="3">
        <v>70639</v>
      </c>
      <c r="X36" s="3">
        <v>70430</v>
      </c>
      <c r="Y36" s="3">
        <v>56992</v>
      </c>
      <c r="Z36" s="18">
        <v>49779</v>
      </c>
      <c r="AD36" s="3">
        <v>55017</v>
      </c>
      <c r="AE36" s="3">
        <v>41561</v>
      </c>
      <c r="AF36" s="3">
        <v>57709</v>
      </c>
      <c r="AG36" s="3">
        <v>58327</v>
      </c>
      <c r="AH36" s="3">
        <v>51904</v>
      </c>
      <c r="AI36" s="3">
        <v>49012</v>
      </c>
      <c r="AJ36" s="3">
        <v>53876</v>
      </c>
      <c r="AK36" s="3">
        <v>59573</v>
      </c>
    </row>
    <row r="37" spans="1:38" ht="27" customHeight="1">
      <c r="A37" s="35"/>
      <c r="B37" s="36" t="s">
        <v>38</v>
      </c>
      <c r="C37" s="21">
        <f xml:space="preserve"> 8867.2</f>
        <v>8867.2000000000007</v>
      </c>
      <c r="D37" s="22">
        <v>9525</v>
      </c>
      <c r="E37" s="22">
        <v>15250</v>
      </c>
      <c r="F37" s="22"/>
      <c r="G37" s="22"/>
      <c r="H37" s="22"/>
      <c r="I37" s="22"/>
      <c r="J37" s="22"/>
      <c r="K37" s="22"/>
      <c r="L37" s="22"/>
      <c r="M37" s="22"/>
      <c r="N37" s="22"/>
      <c r="O37" s="3">
        <v>18341</v>
      </c>
      <c r="P37" s="4">
        <v>9131</v>
      </c>
      <c r="Q37" s="3">
        <v>7700</v>
      </c>
      <c r="R37" s="3">
        <v>8806</v>
      </c>
      <c r="S37" s="3">
        <v>8893</v>
      </c>
      <c r="T37" s="3">
        <v>8144</v>
      </c>
      <c r="U37" s="3">
        <v>13597</v>
      </c>
      <c r="V37" s="3">
        <v>14605</v>
      </c>
      <c r="W37" s="3">
        <v>20683</v>
      </c>
      <c r="X37" s="3">
        <v>15490</v>
      </c>
      <c r="Y37" s="3">
        <v>19462</v>
      </c>
      <c r="Z37" s="18">
        <v>17281</v>
      </c>
      <c r="AD37" s="3">
        <v>12232</v>
      </c>
      <c r="AE37" s="3">
        <v>15737</v>
      </c>
      <c r="AF37" s="3">
        <v>17199</v>
      </c>
      <c r="AG37" s="3">
        <v>13361</v>
      </c>
      <c r="AH37" s="3">
        <v>12881</v>
      </c>
      <c r="AI37" s="3">
        <v>2893</v>
      </c>
      <c r="AJ37" s="3">
        <v>7657</v>
      </c>
      <c r="AK37" s="3">
        <v>760</v>
      </c>
    </row>
    <row r="38" spans="1:38" ht="27" customHeight="1">
      <c r="A38" s="35"/>
      <c r="B38" s="36" t="s">
        <v>39</v>
      </c>
      <c r="C38" s="21">
        <v>0</v>
      </c>
      <c r="D38" s="22">
        <v>0</v>
      </c>
      <c r="E38" s="22">
        <v>0</v>
      </c>
      <c r="F38" s="22"/>
      <c r="G38" s="22"/>
      <c r="H38" s="22"/>
      <c r="I38" s="22"/>
      <c r="J38" s="22"/>
      <c r="K38" s="22"/>
      <c r="L38" s="22"/>
      <c r="M38" s="22"/>
      <c r="N38" s="22"/>
      <c r="O38" s="3">
        <v>0</v>
      </c>
      <c r="P38" s="4">
        <v>0</v>
      </c>
      <c r="Q38" s="3">
        <v>0</v>
      </c>
      <c r="R38" s="3">
        <v>0</v>
      </c>
      <c r="S38" s="3">
        <v>0</v>
      </c>
      <c r="T38" s="3">
        <v>0</v>
      </c>
      <c r="U38" s="3">
        <v>1090</v>
      </c>
      <c r="V38" s="3">
        <v>0</v>
      </c>
      <c r="W38" s="3">
        <v>92</v>
      </c>
      <c r="X38" s="3">
        <v>0</v>
      </c>
      <c r="Y38" s="3">
        <v>32</v>
      </c>
      <c r="Z38" s="18">
        <v>346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</row>
    <row r="39" spans="1:38" ht="27" customHeight="1">
      <c r="A39" s="35"/>
      <c r="B39" s="23" t="s">
        <v>34</v>
      </c>
      <c r="C39" s="21">
        <f xml:space="preserve"> 8422.3</f>
        <v>8422.2999999999993</v>
      </c>
      <c r="D39" s="22">
        <v>12027</v>
      </c>
      <c r="E39" s="22">
        <v>3674</v>
      </c>
      <c r="F39" s="22"/>
      <c r="G39" s="22"/>
      <c r="H39" s="22"/>
      <c r="I39" s="22"/>
      <c r="J39" s="22"/>
      <c r="K39" s="22"/>
      <c r="L39" s="22"/>
      <c r="M39" s="22"/>
      <c r="N39" s="22"/>
      <c r="O39" s="3">
        <v>26839</v>
      </c>
      <c r="P39" s="4">
        <v>28315</v>
      </c>
      <c r="Q39" s="3">
        <v>23316</v>
      </c>
      <c r="R39" s="3">
        <v>18193</v>
      </c>
      <c r="S39" s="3">
        <v>9108</v>
      </c>
      <c r="T39" s="3">
        <v>23303</v>
      </c>
      <c r="U39" s="3">
        <v>17778</v>
      </c>
      <c r="V39" s="3">
        <v>17378</v>
      </c>
      <c r="W39" s="3">
        <v>23628</v>
      </c>
      <c r="X39" s="3">
        <v>15109</v>
      </c>
      <c r="Y39" s="3">
        <v>31144</v>
      </c>
      <c r="Z39" s="18">
        <v>35266</v>
      </c>
      <c r="AD39" s="3">
        <v>24956</v>
      </c>
      <c r="AE39" s="3">
        <v>23491</v>
      </c>
      <c r="AF39" s="3">
        <v>27896</v>
      </c>
      <c r="AG39" s="3">
        <v>21147</v>
      </c>
      <c r="AH39" s="3">
        <v>16862</v>
      </c>
      <c r="AI39" s="3">
        <v>19585</v>
      </c>
      <c r="AJ39" s="3">
        <v>19763</v>
      </c>
      <c r="AK39" s="3">
        <v>19373</v>
      </c>
    </row>
    <row r="40" spans="1:38" ht="27" customHeight="1">
      <c r="A40" s="35"/>
      <c r="B40" s="39" t="s">
        <v>32</v>
      </c>
      <c r="C40" s="21">
        <f xml:space="preserve"> 123369.543</f>
        <v>123369.54300000001</v>
      </c>
      <c r="D40" s="22">
        <v>145124</v>
      </c>
      <c r="E40" s="22">
        <v>147233</v>
      </c>
      <c r="F40" s="22"/>
      <c r="G40" s="22"/>
      <c r="H40" s="22"/>
      <c r="I40" s="22"/>
      <c r="J40" s="22"/>
      <c r="K40" s="22"/>
      <c r="L40" s="22"/>
      <c r="M40" s="22"/>
      <c r="N40" s="22"/>
      <c r="O40" s="3">
        <f>57331+3071</f>
        <v>60402</v>
      </c>
      <c r="P40" s="4">
        <f>60358+1713</f>
        <v>62071</v>
      </c>
      <c r="Q40" s="3">
        <v>58367</v>
      </c>
      <c r="R40" s="3">
        <f>63438+856</f>
        <v>64294</v>
      </c>
      <c r="S40" s="3">
        <f>58250+1371</f>
        <v>59621</v>
      </c>
      <c r="T40" s="3">
        <f>65955+1648</f>
        <v>67603</v>
      </c>
      <c r="U40" s="3">
        <f>87290+1775</f>
        <v>89065</v>
      </c>
      <c r="V40" s="3">
        <f>86208+1254</f>
        <v>87462</v>
      </c>
      <c r="W40" s="3">
        <f>95140+1422</f>
        <v>96562</v>
      </c>
      <c r="X40" s="3">
        <f>87038+2375</f>
        <v>89413</v>
      </c>
      <c r="Y40" s="3">
        <f>91489+2336</f>
        <v>93825</v>
      </c>
      <c r="Z40" s="18">
        <f>83594+3637</f>
        <v>87231</v>
      </c>
      <c r="AB40" s="4"/>
      <c r="AD40" s="3">
        <f>111952+971</f>
        <v>112923</v>
      </c>
      <c r="AE40" s="3">
        <f>111111+1006</f>
        <v>112117</v>
      </c>
      <c r="AF40" s="3">
        <f>126080+3016</f>
        <v>129096</v>
      </c>
      <c r="AG40" s="3">
        <f>118335+602</f>
        <v>118937</v>
      </c>
      <c r="AH40" s="3">
        <f>138890+1796</f>
        <v>140686</v>
      </c>
      <c r="AI40" s="3">
        <f>141574+222</f>
        <v>141796</v>
      </c>
      <c r="AJ40" s="3">
        <f>134723+1593</f>
        <v>136316</v>
      </c>
      <c r="AK40" s="3">
        <f>150026+1355</f>
        <v>151381</v>
      </c>
    </row>
    <row r="41" spans="1:38" ht="27" customHeight="1">
      <c r="A41" s="35"/>
      <c r="B41" s="38" t="s">
        <v>40</v>
      </c>
      <c r="C41" s="21">
        <f xml:space="preserve"> 295819.12</f>
        <v>295819.12</v>
      </c>
      <c r="D41" s="22">
        <v>415098</v>
      </c>
      <c r="E41" s="22">
        <v>404436</v>
      </c>
      <c r="F41" s="22"/>
      <c r="G41" s="22"/>
      <c r="H41" s="22"/>
      <c r="I41" s="22"/>
      <c r="J41" s="22"/>
      <c r="K41" s="22"/>
      <c r="L41" s="22"/>
      <c r="M41" s="22"/>
      <c r="N41" s="22"/>
      <c r="P41" s="4"/>
      <c r="R41" s="3">
        <v>16579</v>
      </c>
      <c r="S41" s="3">
        <v>63207</v>
      </c>
      <c r="T41" s="3">
        <v>101579</v>
      </c>
      <c r="U41" s="3">
        <v>103003</v>
      </c>
      <c r="V41" s="3">
        <v>131161</v>
      </c>
      <c r="W41" s="3">
        <v>165579</v>
      </c>
      <c r="X41" s="3">
        <v>186904</v>
      </c>
      <c r="Y41" s="3">
        <f>199125+1180</f>
        <v>200305</v>
      </c>
      <c r="Z41" s="18">
        <f>215739+3</f>
        <v>215742</v>
      </c>
      <c r="AB41" s="4"/>
      <c r="AD41" s="3">
        <v>250974</v>
      </c>
      <c r="AE41" s="3">
        <v>262299</v>
      </c>
      <c r="AF41" s="3">
        <f>265581+188</f>
        <v>265769</v>
      </c>
      <c r="AG41" s="3">
        <f>269505+612</f>
        <v>270117</v>
      </c>
      <c r="AH41" s="3">
        <f>262178+180</f>
        <v>262358</v>
      </c>
      <c r="AI41" s="3">
        <f>282235+392</f>
        <v>282627</v>
      </c>
      <c r="AJ41" s="3">
        <f>314451+1222</f>
        <v>315673</v>
      </c>
      <c r="AK41" s="3">
        <v>383111</v>
      </c>
    </row>
    <row r="42" spans="1:38" ht="27" customHeight="1">
      <c r="A42" s="35"/>
      <c r="B42" s="38" t="s">
        <v>29</v>
      </c>
      <c r="C42" s="21">
        <f xml:space="preserve"> 72213.12</f>
        <v>72213.119999999995</v>
      </c>
      <c r="D42" s="22">
        <v>98054</v>
      </c>
      <c r="E42" s="22">
        <v>76881</v>
      </c>
      <c r="F42" s="22"/>
      <c r="G42" s="22"/>
      <c r="H42" s="22"/>
      <c r="I42" s="22"/>
      <c r="J42" s="22"/>
      <c r="K42" s="22"/>
      <c r="L42" s="22"/>
      <c r="M42" s="22"/>
      <c r="N42" s="22"/>
      <c r="O42" s="3">
        <v>117549</v>
      </c>
      <c r="P42" s="4">
        <v>106780</v>
      </c>
      <c r="Q42" s="3">
        <v>92252</v>
      </c>
      <c r="R42" s="3">
        <v>58885</v>
      </c>
      <c r="S42" s="3">
        <f>49074+208</f>
        <v>49282</v>
      </c>
      <c r="T42" s="3">
        <v>71888</v>
      </c>
      <c r="U42" s="3">
        <v>73288</v>
      </c>
      <c r="V42" s="3">
        <v>75409</v>
      </c>
      <c r="W42" s="4">
        <f>64926+446</f>
        <v>65372</v>
      </c>
      <c r="X42" s="3">
        <v>62540</v>
      </c>
      <c r="Y42" s="3">
        <v>62072</v>
      </c>
      <c r="Z42" s="18">
        <f>62298+195</f>
        <v>62493</v>
      </c>
      <c r="AD42" s="3">
        <v>59271</v>
      </c>
      <c r="AE42" s="4">
        <v>51432</v>
      </c>
      <c r="AF42" s="3">
        <v>51084</v>
      </c>
      <c r="AG42" s="3">
        <f>38649+1400</f>
        <v>40049</v>
      </c>
      <c r="AH42" s="3">
        <v>63624</v>
      </c>
      <c r="AI42" s="3">
        <f>63082+0</f>
        <v>63082</v>
      </c>
      <c r="AJ42" s="3">
        <f>67208+721</f>
        <v>67929</v>
      </c>
      <c r="AK42" s="3">
        <f>76702+498</f>
        <v>77200</v>
      </c>
    </row>
    <row r="43" spans="1:38" ht="27" customHeight="1" thickBot="1">
      <c r="A43" s="35"/>
      <c r="B43" s="40" t="s">
        <v>41</v>
      </c>
      <c r="C43" s="21">
        <f xml:space="preserve"> 51312.34</f>
        <v>51312.34</v>
      </c>
      <c r="D43" s="22">
        <v>67284</v>
      </c>
      <c r="E43" s="22">
        <v>8321</v>
      </c>
      <c r="F43" s="22"/>
      <c r="G43" s="22"/>
      <c r="H43" s="22"/>
      <c r="I43" s="22"/>
      <c r="J43" s="22"/>
      <c r="K43" s="22"/>
      <c r="L43" s="22"/>
      <c r="M43" s="22"/>
      <c r="N43" s="22"/>
      <c r="O43" s="3">
        <v>118345</v>
      </c>
      <c r="P43" s="4">
        <v>96100</v>
      </c>
      <c r="Q43" s="3">
        <v>108785</v>
      </c>
      <c r="R43" s="3">
        <f>95108+42</f>
        <v>95150</v>
      </c>
      <c r="S43" s="3">
        <v>81519</v>
      </c>
      <c r="T43" s="3">
        <v>96428</v>
      </c>
      <c r="U43" s="3">
        <v>101549</v>
      </c>
      <c r="V43" s="3">
        <v>116833</v>
      </c>
      <c r="W43" s="4">
        <v>103890</v>
      </c>
      <c r="X43" s="4">
        <v>115346</v>
      </c>
      <c r="Y43" s="3">
        <v>117976</v>
      </c>
      <c r="Z43" s="18">
        <v>107294</v>
      </c>
      <c r="AD43" s="3">
        <f>125153+690</f>
        <v>125843</v>
      </c>
      <c r="AE43" s="4">
        <v>111507</v>
      </c>
      <c r="AF43" s="3">
        <v>95476</v>
      </c>
      <c r="AG43" s="3">
        <f>64964+542</f>
        <v>65506</v>
      </c>
      <c r="AH43" s="3">
        <v>66933</v>
      </c>
      <c r="AI43" s="3">
        <v>62512</v>
      </c>
      <c r="AJ43" s="3">
        <f>76257+0</f>
        <v>76257</v>
      </c>
      <c r="AK43" s="3">
        <f>83938+0</f>
        <v>83938</v>
      </c>
      <c r="AL43" s="3">
        <f>+AK44-AL46</f>
        <v>0</v>
      </c>
    </row>
    <row r="44" spans="1:38" ht="27" customHeight="1" thickBot="1">
      <c r="A44" s="41"/>
      <c r="B44" s="26" t="s">
        <v>35</v>
      </c>
      <c r="C44" s="42">
        <f t="shared" ref="C44:Z44" si="2">SUM(C24:C43)</f>
        <v>3043194.2505000001</v>
      </c>
      <c r="D44" s="28">
        <f t="shared" si="2"/>
        <v>3456986</v>
      </c>
      <c r="E44" s="28">
        <f t="shared" si="2"/>
        <v>3297651</v>
      </c>
      <c r="F44" s="28">
        <f t="shared" si="2"/>
        <v>0</v>
      </c>
      <c r="G44" s="28">
        <f t="shared" si="2"/>
        <v>0</v>
      </c>
      <c r="H44" s="28">
        <f t="shared" si="2"/>
        <v>0</v>
      </c>
      <c r="I44" s="28">
        <f t="shared" si="2"/>
        <v>0</v>
      </c>
      <c r="J44" s="28">
        <f t="shared" si="2"/>
        <v>0</v>
      </c>
      <c r="K44" s="28">
        <f t="shared" si="2"/>
        <v>0</v>
      </c>
      <c r="L44" s="28">
        <f t="shared" si="2"/>
        <v>0</v>
      </c>
      <c r="M44" s="28">
        <f t="shared" si="2"/>
        <v>0</v>
      </c>
      <c r="N44" s="28">
        <f t="shared" si="2"/>
        <v>0</v>
      </c>
      <c r="O44" s="4">
        <f t="shared" si="2"/>
        <v>3814913</v>
      </c>
      <c r="P44" s="4">
        <f t="shared" si="2"/>
        <v>3802129</v>
      </c>
      <c r="Q44" s="4">
        <f t="shared" si="2"/>
        <v>3548609</v>
      </c>
      <c r="R44" s="43">
        <f t="shared" si="2"/>
        <v>3273540</v>
      </c>
      <c r="S44" s="43">
        <f t="shared" si="2"/>
        <v>3315587</v>
      </c>
      <c r="T44" s="43">
        <f t="shared" si="2"/>
        <v>3490951</v>
      </c>
      <c r="U44" s="43">
        <f t="shared" si="2"/>
        <v>3639759</v>
      </c>
      <c r="V44" s="43">
        <f t="shared" si="2"/>
        <v>3689964</v>
      </c>
      <c r="W44" s="43">
        <f t="shared" si="2"/>
        <v>3756630</v>
      </c>
      <c r="X44" s="43">
        <f t="shared" si="2"/>
        <v>3783302</v>
      </c>
      <c r="Y44" s="44">
        <f t="shared" si="2"/>
        <v>3668205</v>
      </c>
      <c r="Z44" s="18">
        <f t="shared" si="2"/>
        <v>3365371</v>
      </c>
      <c r="AA44" s="3">
        <f>3230359+135012</f>
        <v>3365371</v>
      </c>
      <c r="AD44" s="3">
        <f t="shared" ref="AD44:AI44" si="3">SUM(AD24:AD43)</f>
        <v>3945555</v>
      </c>
      <c r="AE44" s="3">
        <f t="shared" si="3"/>
        <v>3626920</v>
      </c>
      <c r="AF44" s="3">
        <f t="shared" si="3"/>
        <v>3727948</v>
      </c>
      <c r="AG44" s="3">
        <f t="shared" si="3"/>
        <v>3535539</v>
      </c>
      <c r="AH44" s="3">
        <f t="shared" si="3"/>
        <v>3700433</v>
      </c>
      <c r="AI44" s="3">
        <f t="shared" si="3"/>
        <v>3667977</v>
      </c>
      <c r="AJ44" s="3">
        <f>SUM(AJ24:AJ43)</f>
        <v>3810412</v>
      </c>
      <c r="AK44" s="3">
        <f>SUM(AK24:AK43)</f>
        <v>3811229</v>
      </c>
      <c r="AL44" s="3">
        <v>3677976</v>
      </c>
    </row>
    <row r="45" spans="1:38" ht="27" customHeight="1">
      <c r="A45" s="45" t="s">
        <v>42</v>
      </c>
      <c r="B45" s="15" t="s">
        <v>17</v>
      </c>
      <c r="C45" s="46">
        <v>0</v>
      </c>
      <c r="D45" s="47">
        <v>0</v>
      </c>
      <c r="E45" s="47">
        <v>0</v>
      </c>
      <c r="F45" s="47"/>
      <c r="G45" s="47"/>
      <c r="H45" s="47"/>
      <c r="I45" s="47"/>
      <c r="J45" s="47"/>
      <c r="K45" s="48"/>
      <c r="L45" s="48"/>
      <c r="M45" s="48"/>
      <c r="N45" s="48"/>
      <c r="O45" s="3">
        <v>0</v>
      </c>
      <c r="P45" s="3">
        <v>0</v>
      </c>
      <c r="Q45" s="3">
        <v>0</v>
      </c>
      <c r="R45" s="3">
        <v>0</v>
      </c>
      <c r="S45" s="3">
        <v>55</v>
      </c>
      <c r="T45" s="3">
        <v>0</v>
      </c>
      <c r="U45" s="3">
        <v>0</v>
      </c>
      <c r="V45" s="3">
        <v>0</v>
      </c>
      <c r="W45" s="3">
        <v>0</v>
      </c>
      <c r="X45" s="4">
        <v>132</v>
      </c>
      <c r="Y45" s="3">
        <v>0</v>
      </c>
      <c r="Z45" s="18">
        <v>0</v>
      </c>
      <c r="AA45" s="3">
        <f>+AA44/29</f>
        <v>116047.27586206897</v>
      </c>
      <c r="AD45" s="3">
        <v>0</v>
      </c>
      <c r="AE45" s="3">
        <v>0</v>
      </c>
      <c r="AF45" s="3">
        <v>0</v>
      </c>
      <c r="AG45" s="3">
        <v>0</v>
      </c>
      <c r="AH45" s="49">
        <v>0</v>
      </c>
      <c r="AI45" s="3">
        <v>554</v>
      </c>
      <c r="AJ45" s="3">
        <v>0</v>
      </c>
      <c r="AK45" s="3">
        <v>0</v>
      </c>
      <c r="AL45" s="3">
        <v>133253</v>
      </c>
    </row>
    <row r="46" spans="1:38" ht="27" customHeight="1">
      <c r="A46" s="50"/>
      <c r="B46" s="20" t="s">
        <v>19</v>
      </c>
      <c r="C46" s="51">
        <v>0</v>
      </c>
      <c r="D46" s="22">
        <v>0</v>
      </c>
      <c r="E46" s="22">
        <v>0</v>
      </c>
      <c r="F46" s="22"/>
      <c r="G46" s="22"/>
      <c r="H46" s="22"/>
      <c r="I46" s="22"/>
      <c r="J46" s="22"/>
      <c r="K46" s="52"/>
      <c r="L46" s="52"/>
      <c r="M46" s="52"/>
      <c r="N46" s="52"/>
      <c r="O46" s="3">
        <v>3668</v>
      </c>
      <c r="P46" s="3">
        <v>212</v>
      </c>
      <c r="Q46" s="3">
        <v>366</v>
      </c>
      <c r="R46" s="3">
        <v>0</v>
      </c>
      <c r="S46" s="3">
        <v>0</v>
      </c>
      <c r="T46" s="3">
        <v>0</v>
      </c>
      <c r="U46" s="3">
        <v>0</v>
      </c>
      <c r="V46" s="4">
        <v>0</v>
      </c>
      <c r="W46" s="3">
        <v>0</v>
      </c>
      <c r="X46" s="4">
        <v>0</v>
      </c>
      <c r="Y46" s="3">
        <v>366</v>
      </c>
      <c r="Z46" s="18">
        <v>397</v>
      </c>
      <c r="AD46" s="3">
        <v>0</v>
      </c>
      <c r="AE46" s="3">
        <v>0</v>
      </c>
      <c r="AF46" s="3">
        <v>0</v>
      </c>
      <c r="AG46" s="3">
        <v>664</v>
      </c>
      <c r="AH46" s="49">
        <v>0</v>
      </c>
      <c r="AI46" s="3">
        <v>263</v>
      </c>
      <c r="AJ46" s="3">
        <v>0</v>
      </c>
      <c r="AK46" s="3">
        <v>240</v>
      </c>
      <c r="AL46" s="3">
        <f>+AL45+AL44</f>
        <v>3811229</v>
      </c>
    </row>
    <row r="47" spans="1:38" ht="27" customHeight="1">
      <c r="A47" s="50"/>
      <c r="B47" s="20" t="s">
        <v>18</v>
      </c>
      <c r="C47" s="51">
        <v>0</v>
      </c>
      <c r="D47" s="22">
        <v>0</v>
      </c>
      <c r="E47" s="22">
        <v>0</v>
      </c>
      <c r="F47" s="22"/>
      <c r="G47" s="22"/>
      <c r="H47" s="22"/>
      <c r="I47" s="22"/>
      <c r="J47" s="22"/>
      <c r="K47" s="52"/>
      <c r="L47" s="52"/>
      <c r="M47" s="52"/>
      <c r="N47" s="52"/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4">
        <v>0</v>
      </c>
      <c r="Y47" s="3">
        <v>0</v>
      </c>
      <c r="Z47" s="18">
        <v>0</v>
      </c>
      <c r="AD47" s="3">
        <v>0</v>
      </c>
      <c r="AE47" s="3">
        <v>0</v>
      </c>
      <c r="AF47" s="3">
        <v>0</v>
      </c>
      <c r="AG47" s="3">
        <v>0</v>
      </c>
      <c r="AH47" s="49">
        <v>0</v>
      </c>
      <c r="AI47" s="3">
        <v>0</v>
      </c>
      <c r="AJ47" s="3">
        <v>0</v>
      </c>
      <c r="AK47" s="3">
        <v>0</v>
      </c>
      <c r="AL47" s="3">
        <f>+AL46/30</f>
        <v>127040.96666666666</v>
      </c>
    </row>
    <row r="48" spans="1:38" ht="27" customHeight="1">
      <c r="A48" s="50"/>
      <c r="B48" s="20" t="s">
        <v>22</v>
      </c>
      <c r="C48" s="51">
        <v>25650</v>
      </c>
      <c r="D48" s="22">
        <v>27550</v>
      </c>
      <c r="E48" s="22">
        <v>26743</v>
      </c>
      <c r="F48" s="22"/>
      <c r="G48" s="22"/>
      <c r="H48" s="22"/>
      <c r="I48" s="22"/>
      <c r="J48" s="22"/>
      <c r="K48" s="52"/>
      <c r="L48" s="52"/>
      <c r="M48" s="52"/>
      <c r="N48" s="53"/>
      <c r="O48" s="3">
        <f>555288+13737</f>
        <v>569025</v>
      </c>
      <c r="P48" s="4">
        <f>381347+10578</f>
        <v>391925</v>
      </c>
      <c r="Q48" s="3">
        <f>402671+14171</f>
        <v>416842</v>
      </c>
      <c r="R48" s="3">
        <f>530933+10481</f>
        <v>541414</v>
      </c>
      <c r="S48" s="3">
        <f>614868+10941</f>
        <v>625809</v>
      </c>
      <c r="T48" s="3">
        <f>705384+11495</f>
        <v>716879</v>
      </c>
      <c r="U48" s="3">
        <f>605528+8346</f>
        <v>613874</v>
      </c>
      <c r="V48" s="3">
        <f>605103+16207</f>
        <v>621310</v>
      </c>
      <c r="W48" s="3">
        <f>514234+9055</f>
        <v>523289</v>
      </c>
      <c r="X48" s="3">
        <f>458017+7301</f>
        <v>465318</v>
      </c>
      <c r="Y48" s="3">
        <f>475672+5848</f>
        <v>481520</v>
      </c>
      <c r="Z48" s="18">
        <f>569507+8495</f>
        <v>578002</v>
      </c>
      <c r="AB48" s="4"/>
      <c r="AD48" s="3">
        <f>589357+12382+321</f>
        <v>602060</v>
      </c>
      <c r="AE48" s="3">
        <f>626547+4716+402</f>
        <v>631665</v>
      </c>
      <c r="AF48" s="3">
        <f>655576+8757+1313</f>
        <v>665646</v>
      </c>
      <c r="AG48" s="3">
        <f>633781+3969</f>
        <v>637750</v>
      </c>
      <c r="AH48" s="49">
        <f>591621+9764</f>
        <v>601385</v>
      </c>
      <c r="AI48" s="3">
        <f>628904+11418</f>
        <v>640322</v>
      </c>
      <c r="AJ48" s="3">
        <f>566998+7100</f>
        <v>574098</v>
      </c>
      <c r="AK48" s="3">
        <f>641287+7738+1476</f>
        <v>650501</v>
      </c>
    </row>
    <row r="49" spans="1:38" ht="27" customHeight="1">
      <c r="A49" s="50"/>
      <c r="B49" s="20" t="s">
        <v>23</v>
      </c>
      <c r="C49" s="51">
        <v>0</v>
      </c>
      <c r="D49" s="22">
        <v>0</v>
      </c>
      <c r="E49" s="22">
        <v>0</v>
      </c>
      <c r="F49" s="22"/>
      <c r="G49" s="22"/>
      <c r="H49" s="22"/>
      <c r="I49" s="22"/>
      <c r="J49" s="22"/>
      <c r="K49" s="52"/>
      <c r="L49" s="52"/>
      <c r="M49" s="52"/>
      <c r="N49" s="52"/>
      <c r="O49" s="3">
        <v>0</v>
      </c>
      <c r="P49" s="4">
        <v>0</v>
      </c>
      <c r="Q49" s="3">
        <v>663</v>
      </c>
      <c r="R49" s="3">
        <v>1342</v>
      </c>
      <c r="S49" s="3">
        <v>0</v>
      </c>
      <c r="T49" s="3">
        <v>0</v>
      </c>
      <c r="U49" s="3">
        <f>1162+557</f>
        <v>1719</v>
      </c>
      <c r="V49" s="3">
        <f>701+340</f>
        <v>1041</v>
      </c>
      <c r="W49" s="3">
        <v>0</v>
      </c>
      <c r="X49" s="3">
        <f>880+1654+676</f>
        <v>3210</v>
      </c>
      <c r="Y49" s="3">
        <v>0</v>
      </c>
      <c r="Z49" s="54">
        <v>450</v>
      </c>
      <c r="AD49" s="3">
        <v>0</v>
      </c>
      <c r="AE49" s="3">
        <f>83+400+564</f>
        <v>1047</v>
      </c>
      <c r="AF49" s="3">
        <f>583+480</f>
        <v>1063</v>
      </c>
      <c r="AG49" s="3">
        <v>0</v>
      </c>
      <c r="AH49" s="49">
        <v>719</v>
      </c>
      <c r="AI49" s="3">
        <v>627</v>
      </c>
      <c r="AJ49" s="3">
        <v>648</v>
      </c>
      <c r="AK49" s="3">
        <f>753+348</f>
        <v>1101</v>
      </c>
    </row>
    <row r="50" spans="1:38" ht="27" customHeight="1">
      <c r="A50" s="50"/>
      <c r="B50" s="55" t="s">
        <v>40</v>
      </c>
      <c r="C50" s="51">
        <v>0</v>
      </c>
      <c r="D50" s="22">
        <v>0</v>
      </c>
      <c r="E50" s="22">
        <v>0</v>
      </c>
      <c r="F50" s="22"/>
      <c r="G50" s="22"/>
      <c r="H50" s="22"/>
      <c r="I50" s="22"/>
      <c r="J50" s="22"/>
      <c r="K50" s="52"/>
      <c r="L50" s="52"/>
      <c r="M50" s="52"/>
      <c r="N50" s="52"/>
      <c r="P50" s="4"/>
      <c r="Y50" s="3">
        <v>1362</v>
      </c>
      <c r="Z50" s="18">
        <v>0</v>
      </c>
      <c r="AD50" s="3">
        <v>0</v>
      </c>
      <c r="AE50" s="3">
        <v>0</v>
      </c>
      <c r="AF50" s="3">
        <v>0</v>
      </c>
      <c r="AG50" s="3">
        <v>0</v>
      </c>
      <c r="AH50" s="49">
        <v>0</v>
      </c>
      <c r="AI50" s="3">
        <v>0</v>
      </c>
      <c r="AJ50" s="3">
        <v>0</v>
      </c>
      <c r="AK50" s="3">
        <v>0</v>
      </c>
    </row>
    <row r="51" spans="1:38" ht="27" customHeight="1">
      <c r="A51" s="50"/>
      <c r="B51" s="20" t="s">
        <v>27</v>
      </c>
      <c r="C51" s="51">
        <v>0</v>
      </c>
      <c r="D51" s="22">
        <v>0</v>
      </c>
      <c r="E51" s="22">
        <v>0</v>
      </c>
      <c r="F51" s="22"/>
      <c r="G51" s="22"/>
      <c r="H51" s="22"/>
      <c r="I51" s="22"/>
      <c r="J51" s="22"/>
      <c r="K51" s="52"/>
      <c r="L51" s="52"/>
      <c r="M51" s="52"/>
      <c r="N51" s="52"/>
      <c r="O51" s="3">
        <v>18429</v>
      </c>
      <c r="P51" s="4">
        <v>15547</v>
      </c>
      <c r="Q51" s="3">
        <v>15967</v>
      </c>
      <c r="R51" s="3">
        <v>21526</v>
      </c>
      <c r="S51" s="3">
        <v>17343</v>
      </c>
      <c r="T51" s="3">
        <v>12833</v>
      </c>
      <c r="U51" s="3">
        <v>18534</v>
      </c>
      <c r="V51" s="3">
        <v>17208</v>
      </c>
      <c r="W51" s="3">
        <v>21247</v>
      </c>
      <c r="X51" s="3">
        <v>16683</v>
      </c>
      <c r="Y51" s="3">
        <v>17189</v>
      </c>
      <c r="Z51" s="18">
        <v>18496</v>
      </c>
      <c r="AB51" s="4"/>
      <c r="AD51" s="3">
        <v>21737</v>
      </c>
      <c r="AE51" s="3">
        <v>15588</v>
      </c>
      <c r="AF51" s="3">
        <v>18068</v>
      </c>
      <c r="AG51" s="3">
        <v>18549</v>
      </c>
      <c r="AH51" s="49">
        <v>13917</v>
      </c>
      <c r="AI51" s="3">
        <v>20875</v>
      </c>
      <c r="AJ51" s="3">
        <v>22085</v>
      </c>
      <c r="AK51" s="3">
        <v>18509</v>
      </c>
    </row>
    <row r="52" spans="1:38" ht="27" customHeight="1">
      <c r="A52" s="50"/>
      <c r="B52" s="20" t="s">
        <v>25</v>
      </c>
      <c r="C52" s="51">
        <f xml:space="preserve"> 1846289.115</f>
        <v>1846289.115</v>
      </c>
      <c r="D52" s="22">
        <v>2595292</v>
      </c>
      <c r="E52" s="22">
        <v>2527976</v>
      </c>
      <c r="F52" s="22"/>
      <c r="G52" s="22"/>
      <c r="H52" s="22"/>
      <c r="I52" s="22"/>
      <c r="J52" s="22"/>
      <c r="K52" s="52"/>
      <c r="L52" s="52"/>
      <c r="M52" s="52"/>
      <c r="N52" s="52"/>
      <c r="O52" s="3">
        <f>3107487+18387</f>
        <v>3125874</v>
      </c>
      <c r="P52" s="4">
        <f>3138031+18035</f>
        <v>3156066</v>
      </c>
      <c r="Q52" s="3">
        <f>3153646+15202</f>
        <v>3168848</v>
      </c>
      <c r="R52" s="3">
        <f>3030754+14545</f>
        <v>3045299</v>
      </c>
      <c r="S52" s="3">
        <f>2988354+17909</f>
        <v>3006263</v>
      </c>
      <c r="T52" s="3">
        <f>3007346+17851</f>
        <v>3025197</v>
      </c>
      <c r="U52" s="3">
        <f>2935901+16162</f>
        <v>2952063</v>
      </c>
      <c r="V52" s="3">
        <f>2931929+15866</f>
        <v>2947795</v>
      </c>
      <c r="W52" s="3">
        <f>3061565+17158</f>
        <v>3078723</v>
      </c>
      <c r="X52" s="3">
        <f>3025356+15768</f>
        <v>3041124</v>
      </c>
      <c r="Y52" s="3">
        <f>3104878+14622</f>
        <v>3119500</v>
      </c>
      <c r="Z52" s="18">
        <f>2950437+13939</f>
        <v>2964376</v>
      </c>
      <c r="AD52" s="3">
        <f>3166067+24803</f>
        <v>3190870</v>
      </c>
      <c r="AE52" s="3">
        <f>2990987+32120</f>
        <v>3023107</v>
      </c>
      <c r="AF52" s="3">
        <f>2876039+27458</f>
        <v>2903497</v>
      </c>
      <c r="AG52" s="3">
        <f>2714805+16352</f>
        <v>2731157</v>
      </c>
      <c r="AH52" s="49">
        <f>2735909+16456</f>
        <v>2752365</v>
      </c>
      <c r="AI52" s="3">
        <f>3063723+16089</f>
        <v>3079812</v>
      </c>
      <c r="AJ52" s="3">
        <f>2832332+20698</f>
        <v>2853030</v>
      </c>
      <c r="AK52" s="3">
        <f>2805432+13046</f>
        <v>2818478</v>
      </c>
    </row>
    <row r="53" spans="1:38" ht="27" customHeight="1">
      <c r="A53" s="50"/>
      <c r="B53" s="56" t="s">
        <v>32</v>
      </c>
      <c r="C53" s="51">
        <v>0</v>
      </c>
      <c r="D53" s="22">
        <v>0</v>
      </c>
      <c r="E53" s="22">
        <v>0</v>
      </c>
      <c r="F53" s="22"/>
      <c r="G53" s="22"/>
      <c r="H53" s="22"/>
      <c r="I53" s="22"/>
      <c r="J53" s="22"/>
      <c r="K53" s="52"/>
      <c r="L53" s="52"/>
      <c r="M53" s="52"/>
      <c r="N53" s="52"/>
      <c r="P53" s="4"/>
      <c r="Z53" s="18"/>
      <c r="AE53" s="3">
        <v>505</v>
      </c>
      <c r="AF53" s="3">
        <v>135</v>
      </c>
      <c r="AG53" s="3">
        <v>411</v>
      </c>
      <c r="AH53" s="49">
        <v>0</v>
      </c>
      <c r="AI53" s="3">
        <v>854</v>
      </c>
      <c r="AJ53" s="3">
        <v>0</v>
      </c>
      <c r="AK53" s="3">
        <v>0</v>
      </c>
    </row>
    <row r="54" spans="1:38" ht="27" customHeight="1">
      <c r="A54" s="50"/>
      <c r="B54" s="20" t="s">
        <v>24</v>
      </c>
      <c r="C54" s="51">
        <v>0</v>
      </c>
      <c r="D54" s="22">
        <v>0</v>
      </c>
      <c r="E54" s="22">
        <v>0</v>
      </c>
      <c r="F54" s="22"/>
      <c r="G54" s="22"/>
      <c r="H54" s="22"/>
      <c r="I54" s="22"/>
      <c r="J54" s="22"/>
      <c r="K54" s="52"/>
      <c r="L54" s="52"/>
      <c r="M54" s="52"/>
      <c r="N54" s="52"/>
      <c r="O54" s="3">
        <v>0</v>
      </c>
      <c r="P54" s="3">
        <v>0</v>
      </c>
      <c r="Q54" s="3">
        <v>322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372</v>
      </c>
      <c r="X54" s="3">
        <v>0</v>
      </c>
      <c r="Y54" s="3">
        <v>0</v>
      </c>
      <c r="Z54" s="18">
        <v>0</v>
      </c>
      <c r="AD54" s="3">
        <v>0</v>
      </c>
      <c r="AE54" s="3">
        <v>0</v>
      </c>
      <c r="AF54" s="3">
        <v>0</v>
      </c>
      <c r="AG54" s="3">
        <v>367</v>
      </c>
      <c r="AH54" s="49">
        <v>437</v>
      </c>
      <c r="AI54" s="3">
        <v>476</v>
      </c>
      <c r="AJ54" s="3">
        <v>0</v>
      </c>
      <c r="AK54" s="3">
        <v>212</v>
      </c>
    </row>
    <row r="55" spans="1:38" ht="27" customHeight="1" thickBot="1">
      <c r="A55" s="50"/>
      <c r="B55" s="57" t="s">
        <v>21</v>
      </c>
      <c r="C55" s="51">
        <v>0</v>
      </c>
      <c r="D55" s="22">
        <v>0</v>
      </c>
      <c r="E55" s="22">
        <v>0</v>
      </c>
      <c r="F55" s="22"/>
      <c r="G55" s="22"/>
      <c r="H55" s="22"/>
      <c r="I55" s="22"/>
      <c r="J55" s="22"/>
      <c r="K55" s="52"/>
      <c r="L55" s="52"/>
      <c r="M55" s="52"/>
      <c r="N55" s="52"/>
      <c r="O55" s="3">
        <v>461</v>
      </c>
      <c r="P55" s="3">
        <v>1194</v>
      </c>
      <c r="Q55" s="3">
        <v>300</v>
      </c>
      <c r="R55" s="3">
        <v>367</v>
      </c>
      <c r="S55" s="3">
        <v>420</v>
      </c>
      <c r="T55" s="3">
        <v>0</v>
      </c>
      <c r="U55" s="3">
        <v>0</v>
      </c>
      <c r="V55" s="3">
        <v>431</v>
      </c>
      <c r="W55" s="3">
        <v>0</v>
      </c>
      <c r="X55" s="3">
        <v>0</v>
      </c>
      <c r="Y55" s="3">
        <v>140</v>
      </c>
      <c r="Z55" s="18">
        <v>0</v>
      </c>
      <c r="AD55" s="3">
        <v>492</v>
      </c>
      <c r="AE55" s="3">
        <v>0</v>
      </c>
      <c r="AF55" s="3">
        <v>0</v>
      </c>
      <c r="AG55" s="3">
        <v>0</v>
      </c>
      <c r="AH55" s="49">
        <v>0</v>
      </c>
      <c r="AI55" s="3">
        <v>278</v>
      </c>
      <c r="AJ55" s="3">
        <v>0</v>
      </c>
      <c r="AK55" s="3">
        <v>0</v>
      </c>
    </row>
    <row r="56" spans="1:38" ht="27" customHeight="1" thickBot="1">
      <c r="A56" s="58"/>
      <c r="B56" s="59" t="s">
        <v>35</v>
      </c>
      <c r="C56" s="60">
        <f t="shared" ref="C56:I56" si="4">SUM(C45:C55)</f>
        <v>1871939.115</v>
      </c>
      <c r="D56" s="61">
        <f t="shared" si="4"/>
        <v>2622842</v>
      </c>
      <c r="E56" s="61">
        <f t="shared" si="4"/>
        <v>2554719</v>
      </c>
      <c r="F56" s="28">
        <f t="shared" si="4"/>
        <v>0</v>
      </c>
      <c r="G56" s="61">
        <f t="shared" si="4"/>
        <v>0</v>
      </c>
      <c r="H56" s="61">
        <f t="shared" si="4"/>
        <v>0</v>
      </c>
      <c r="I56" s="61">
        <f t="shared" si="4"/>
        <v>0</v>
      </c>
      <c r="J56" s="28">
        <f t="shared" ref="J56:U56" si="5">SUM(J45:J55)</f>
        <v>0</v>
      </c>
      <c r="K56" s="28">
        <f t="shared" si="5"/>
        <v>0</v>
      </c>
      <c r="L56" s="28">
        <f t="shared" si="5"/>
        <v>0</v>
      </c>
      <c r="M56" s="28">
        <f t="shared" si="5"/>
        <v>0</v>
      </c>
      <c r="N56" s="28">
        <f t="shared" si="5"/>
        <v>0</v>
      </c>
      <c r="O56" s="3">
        <f t="shared" si="5"/>
        <v>3717457</v>
      </c>
      <c r="P56" s="3">
        <f t="shared" si="5"/>
        <v>3564944</v>
      </c>
      <c r="Q56" s="3">
        <f t="shared" si="5"/>
        <v>3603308</v>
      </c>
      <c r="R56" s="4">
        <f t="shared" si="5"/>
        <v>3609948</v>
      </c>
      <c r="S56" s="4">
        <f t="shared" si="5"/>
        <v>3649890</v>
      </c>
      <c r="T56" s="4">
        <f t="shared" si="5"/>
        <v>3754909</v>
      </c>
      <c r="U56" s="4">
        <f t="shared" si="5"/>
        <v>3586190</v>
      </c>
      <c r="V56" s="4">
        <f>SUM(V45:V55)</f>
        <v>3587785</v>
      </c>
      <c r="W56" s="4">
        <f>SUM(W45:W55)</f>
        <v>3623631</v>
      </c>
      <c r="X56" s="4">
        <f>SUM(X45:X55)</f>
        <v>3526467</v>
      </c>
      <c r="Y56" s="4">
        <f>SUM(Y45:Y55)</f>
        <v>3620077</v>
      </c>
      <c r="Z56" s="18">
        <f>SUM(Z45:Z55)</f>
        <v>3561721</v>
      </c>
      <c r="AA56" s="3">
        <f>3547782+13939</f>
        <v>3561721</v>
      </c>
      <c r="AD56" s="3">
        <f t="shared" ref="AD56:AI56" si="6">SUM(AD45:AD55)</f>
        <v>3815159</v>
      </c>
      <c r="AE56" s="3">
        <f t="shared" si="6"/>
        <v>3671912</v>
      </c>
      <c r="AF56" s="3">
        <f t="shared" si="6"/>
        <v>3588409</v>
      </c>
      <c r="AG56" s="4">
        <f t="shared" si="6"/>
        <v>3388898</v>
      </c>
      <c r="AH56" s="49">
        <f t="shared" si="6"/>
        <v>3368823</v>
      </c>
      <c r="AI56" s="4">
        <f t="shared" si="6"/>
        <v>3744061</v>
      </c>
      <c r="AJ56" s="3">
        <f>SUM(AJ45:AJ55)</f>
        <v>3449861</v>
      </c>
      <c r="AL56" s="3">
        <f>3429163+20698</f>
        <v>3449861</v>
      </c>
    </row>
    <row r="57" spans="1:38" ht="27.75" customHeight="1">
      <c r="A57" s="62" t="s">
        <v>43</v>
      </c>
      <c r="B57" s="62"/>
      <c r="C57" s="62"/>
      <c r="D57" s="62"/>
      <c r="E57" s="62"/>
      <c r="F57" s="62"/>
      <c r="G57" s="62"/>
      <c r="H57" s="63"/>
      <c r="I57" s="63" t="s">
        <v>44</v>
      </c>
      <c r="J57" s="63"/>
      <c r="K57" s="63"/>
      <c r="L57" s="63"/>
      <c r="M57" s="63"/>
      <c r="N57" s="63"/>
      <c r="Q57" s="4"/>
      <c r="R57" s="4"/>
      <c r="S57" s="4"/>
      <c r="T57" s="4"/>
      <c r="U57" s="4"/>
      <c r="V57" s="4"/>
      <c r="AA57" s="3">
        <f>+AA56/29</f>
        <v>122817.96551724138</v>
      </c>
      <c r="AG57" s="3">
        <f>+AG56/31</f>
        <v>109319.29032258065</v>
      </c>
      <c r="AL57" s="3">
        <f>+AL56-AJ56</f>
        <v>0</v>
      </c>
    </row>
    <row r="58" spans="1:38" ht="31.5" customHeight="1">
      <c r="G58" s="65"/>
      <c r="H58" s="65"/>
      <c r="K58" s="4"/>
      <c r="L58" s="4"/>
      <c r="W58" s="4"/>
      <c r="AL58" s="3">
        <f>+AL56/30</f>
        <v>114995.36666666667</v>
      </c>
    </row>
    <row r="60" spans="1:38" ht="61.5" customHeight="1" thickBot="1">
      <c r="A60" s="66" t="s">
        <v>0</v>
      </c>
      <c r="B60" s="66"/>
      <c r="C60" s="66"/>
      <c r="D60" s="66"/>
      <c r="E60" s="66"/>
      <c r="F60" s="66"/>
      <c r="G60" s="67"/>
      <c r="H60" s="67"/>
      <c r="I60" s="67"/>
      <c r="J60" s="67"/>
      <c r="K60" s="67"/>
      <c r="L60" s="67"/>
      <c r="M60" s="67"/>
      <c r="N60" s="67"/>
      <c r="AL60" s="3">
        <f>14522+3474519</f>
        <v>3489041</v>
      </c>
    </row>
    <row r="61" spans="1:38" ht="31.5" customHeight="1" thickBot="1">
      <c r="A61" s="68" t="s">
        <v>1</v>
      </c>
      <c r="B61" s="69"/>
      <c r="C61" s="70" t="s">
        <v>45</v>
      </c>
      <c r="D61" s="70"/>
      <c r="E61" s="70"/>
      <c r="F61" s="70"/>
      <c r="G61" s="71"/>
      <c r="H61" s="71"/>
      <c r="I61" s="71"/>
      <c r="J61" s="71"/>
      <c r="K61" s="71"/>
      <c r="L61" s="71"/>
      <c r="M61" s="71"/>
      <c r="N61" s="71"/>
      <c r="AL61" s="3">
        <f>+AL60/30</f>
        <v>116301.36666666667</v>
      </c>
    </row>
    <row r="62" spans="1:38" ht="31.5" customHeight="1" thickBot="1">
      <c r="A62" s="72"/>
      <c r="B62" s="73"/>
      <c r="C62" s="74" t="s">
        <v>46</v>
      </c>
      <c r="D62" s="75" t="s">
        <v>47</v>
      </c>
      <c r="E62" s="75" t="s">
        <v>48</v>
      </c>
      <c r="F62" s="76" t="s">
        <v>49</v>
      </c>
    </row>
    <row r="63" spans="1:38" ht="21.6" customHeight="1">
      <c r="A63" s="77" t="s">
        <v>15</v>
      </c>
      <c r="B63" s="78" t="s">
        <v>16</v>
      </c>
      <c r="C63" s="79">
        <f t="shared" ref="C63:C70" si="7">(C4+D4+E4)/3</f>
        <v>52409.750999999997</v>
      </c>
      <c r="D63" s="80">
        <f t="shared" ref="D63:D70" si="8">(F4+G4+H4)/3</f>
        <v>0</v>
      </c>
      <c r="E63" s="81">
        <f t="shared" ref="E63:E70" si="9">(I4+J4+K4)/3</f>
        <v>0</v>
      </c>
      <c r="F63" s="82">
        <f t="shared" ref="F63:F70" si="10">(L4+M4+N4)/3</f>
        <v>0</v>
      </c>
    </row>
    <row r="64" spans="1:38" ht="21.6" customHeight="1">
      <c r="A64" s="83"/>
      <c r="B64" s="84" t="s">
        <v>17</v>
      </c>
      <c r="C64" s="79">
        <f t="shared" si="7"/>
        <v>419423.7432666666</v>
      </c>
      <c r="D64" s="80">
        <f t="shared" si="8"/>
        <v>0</v>
      </c>
      <c r="E64" s="81">
        <f t="shared" si="9"/>
        <v>0</v>
      </c>
      <c r="F64" s="85">
        <f t="shared" si="10"/>
        <v>0</v>
      </c>
    </row>
    <row r="65" spans="1:6" ht="21.6" customHeight="1">
      <c r="A65" s="83"/>
      <c r="B65" s="86" t="s">
        <v>18</v>
      </c>
      <c r="C65" s="79">
        <f t="shared" si="7"/>
        <v>4996.666666666667</v>
      </c>
      <c r="D65" s="80">
        <f t="shared" si="8"/>
        <v>0</v>
      </c>
      <c r="E65" s="81">
        <f t="shared" si="9"/>
        <v>0</v>
      </c>
      <c r="F65" s="85">
        <f t="shared" si="10"/>
        <v>0</v>
      </c>
    </row>
    <row r="66" spans="1:6" ht="21.6" customHeight="1">
      <c r="A66" s="83"/>
      <c r="B66" s="86" t="s">
        <v>19</v>
      </c>
      <c r="C66" s="79">
        <f t="shared" si="7"/>
        <v>136400</v>
      </c>
      <c r="D66" s="80">
        <f t="shared" si="8"/>
        <v>0</v>
      </c>
      <c r="E66" s="81">
        <f t="shared" si="9"/>
        <v>0</v>
      </c>
      <c r="F66" s="85">
        <f t="shared" si="10"/>
        <v>0</v>
      </c>
    </row>
    <row r="67" spans="1:6" ht="21.6" customHeight="1">
      <c r="A67" s="83"/>
      <c r="B67" s="84" t="s">
        <v>20</v>
      </c>
      <c r="C67" s="79">
        <f t="shared" si="7"/>
        <v>13444.206666666667</v>
      </c>
      <c r="D67" s="80">
        <f t="shared" si="8"/>
        <v>0</v>
      </c>
      <c r="E67" s="81">
        <f t="shared" si="9"/>
        <v>0</v>
      </c>
      <c r="F67" s="85">
        <f t="shared" si="10"/>
        <v>0</v>
      </c>
    </row>
    <row r="68" spans="1:6" ht="21.6" customHeight="1">
      <c r="A68" s="83"/>
      <c r="B68" s="84" t="s">
        <v>21</v>
      </c>
      <c r="C68" s="79">
        <f t="shared" si="7"/>
        <v>66951</v>
      </c>
      <c r="D68" s="80">
        <f t="shared" si="8"/>
        <v>0</v>
      </c>
      <c r="E68" s="81">
        <f t="shared" si="9"/>
        <v>0</v>
      </c>
      <c r="F68" s="85">
        <f t="shared" si="10"/>
        <v>0</v>
      </c>
    </row>
    <row r="69" spans="1:6" ht="21.6" customHeight="1">
      <c r="A69" s="83"/>
      <c r="B69" s="84" t="s">
        <v>22</v>
      </c>
      <c r="C69" s="79">
        <f t="shared" si="7"/>
        <v>42863.666666666664</v>
      </c>
      <c r="D69" s="80">
        <f t="shared" si="8"/>
        <v>0</v>
      </c>
      <c r="E69" s="81">
        <f t="shared" si="9"/>
        <v>0</v>
      </c>
      <c r="F69" s="85">
        <f t="shared" si="10"/>
        <v>0</v>
      </c>
    </row>
    <row r="70" spans="1:6" ht="21.6" customHeight="1">
      <c r="A70" s="83"/>
      <c r="B70" s="84" t="s">
        <v>23</v>
      </c>
      <c r="C70" s="79">
        <f t="shared" si="7"/>
        <v>0</v>
      </c>
      <c r="D70" s="80">
        <f t="shared" si="8"/>
        <v>0</v>
      </c>
      <c r="E70" s="81">
        <f t="shared" si="9"/>
        <v>0</v>
      </c>
      <c r="F70" s="85">
        <f t="shared" si="10"/>
        <v>0</v>
      </c>
    </row>
    <row r="71" spans="1:6" ht="21.6" customHeight="1">
      <c r="A71" s="83"/>
      <c r="B71" s="87" t="s">
        <v>24</v>
      </c>
      <c r="C71" s="79" t="e">
        <f>(#REF!+#REF!+#REF!)/3</f>
        <v>#REF!</v>
      </c>
      <c r="D71" s="80" t="e">
        <f>(#REF!+#REF!+#REF!)/3</f>
        <v>#REF!</v>
      </c>
      <c r="E71" s="81" t="e">
        <f>(#REF!+#REF!+#REF!)/3</f>
        <v>#REF!</v>
      </c>
      <c r="F71" s="85" t="e">
        <f>(#REF!+#REF!+#REF!)/3</f>
        <v>#REF!</v>
      </c>
    </row>
    <row r="72" spans="1:6" ht="21.6" customHeight="1">
      <c r="A72" s="83"/>
      <c r="B72" s="84" t="s">
        <v>27</v>
      </c>
      <c r="C72" s="79" t="e">
        <f>(#REF!+#REF!+#REF!)/3</f>
        <v>#REF!</v>
      </c>
      <c r="D72" s="80" t="e">
        <f>(#REF!+#REF!+#REF!)/3</f>
        <v>#REF!</v>
      </c>
      <c r="E72" s="81" t="e">
        <f>(#REF!+#REF!+#REF!)/3</f>
        <v>#REF!</v>
      </c>
      <c r="F72" s="85" t="e">
        <f>(#REF!+#REF!+#REF!)/3</f>
        <v>#REF!</v>
      </c>
    </row>
    <row r="73" spans="1:6" ht="21.6" customHeight="1" thickBot="1">
      <c r="A73" s="83"/>
      <c r="B73" s="84" t="s">
        <v>26</v>
      </c>
      <c r="C73" s="79">
        <f>(C14+D14+E14)/3</f>
        <v>126800</v>
      </c>
      <c r="D73" s="80">
        <f>(F14+G14+H14)/3</f>
        <v>0</v>
      </c>
      <c r="E73" s="81">
        <f>(I14+J14+K14)/3</f>
        <v>0</v>
      </c>
      <c r="F73" s="88">
        <f>(L14+M14+N14)/3</f>
        <v>0</v>
      </c>
    </row>
    <row r="74" spans="1:6" ht="21.6" customHeight="1" thickBot="1">
      <c r="A74" s="89"/>
      <c r="B74" s="90" t="s">
        <v>35</v>
      </c>
      <c r="C74" s="91" t="e">
        <f>SUM(C63:C73)</f>
        <v>#REF!</v>
      </c>
      <c r="D74" s="91" t="e">
        <f>SUM(D63:D73)</f>
        <v>#REF!</v>
      </c>
      <c r="E74" s="91" t="e">
        <f>SUM(E63:E73)</f>
        <v>#REF!</v>
      </c>
      <c r="F74" s="91" t="e">
        <f>SUM(F63:F73)</f>
        <v>#REF!</v>
      </c>
    </row>
    <row r="75" spans="1:6" ht="21.6" customHeight="1">
      <c r="A75" s="92" t="s">
        <v>36</v>
      </c>
      <c r="B75" s="78" t="s">
        <v>16</v>
      </c>
      <c r="C75" s="79">
        <f>(C24+D24+E24)/3</f>
        <v>0</v>
      </c>
      <c r="D75" s="80">
        <f>(F24+G24+H24)/3</f>
        <v>0</v>
      </c>
      <c r="E75" s="81">
        <f>(I24+J24+K24)/3</f>
        <v>0</v>
      </c>
      <c r="F75" s="88">
        <f>(L24+M24+N24)/3</f>
        <v>0</v>
      </c>
    </row>
    <row r="76" spans="1:6" ht="21.6" customHeight="1">
      <c r="A76" s="93"/>
      <c r="B76" s="86" t="s">
        <v>17</v>
      </c>
      <c r="C76" s="79">
        <f>(C25+D25+E25)/3</f>
        <v>48681.283333333333</v>
      </c>
      <c r="D76" s="80">
        <f>(F25+G25+H25)/3</f>
        <v>0</v>
      </c>
      <c r="E76" s="81">
        <f>(I25+J25+K25)/3</f>
        <v>0</v>
      </c>
      <c r="F76" s="88">
        <f>(O25+M25+N25)/3</f>
        <v>13081.333333333334</v>
      </c>
    </row>
    <row r="77" spans="1:6" ht="21.6" customHeight="1">
      <c r="A77" s="93"/>
      <c r="B77" s="86" t="s">
        <v>18</v>
      </c>
      <c r="C77" s="79">
        <f>(C26+D26+E26)/3</f>
        <v>4240.1033333333335</v>
      </c>
      <c r="D77" s="80">
        <f>(F26+G26+H26)/3</f>
        <v>0</v>
      </c>
      <c r="E77" s="81">
        <f>(I26+J26+K26)/3</f>
        <v>0</v>
      </c>
      <c r="F77" s="88">
        <f>(L26+M26+N26)/3</f>
        <v>0</v>
      </c>
    </row>
    <row r="78" spans="1:6" ht="21.6" customHeight="1">
      <c r="A78" s="93"/>
      <c r="B78" s="84" t="s">
        <v>26</v>
      </c>
      <c r="C78" s="79" t="e">
        <f>(#REF!+#REF!+#REF!)/3</f>
        <v>#REF!</v>
      </c>
      <c r="D78" s="80" t="e">
        <f>(#REF!+#REF!+#REF!)/3</f>
        <v>#REF!</v>
      </c>
      <c r="E78" s="81" t="e">
        <f>(#REF!+#REF!+#REF!)/3</f>
        <v>#REF!</v>
      </c>
      <c r="F78" s="88" t="e">
        <f>(#REF!+#REF!+#REF!)/3</f>
        <v>#REF!</v>
      </c>
    </row>
    <row r="79" spans="1:6" ht="21.6" customHeight="1">
      <c r="A79" s="93"/>
      <c r="B79" s="84" t="s">
        <v>19</v>
      </c>
      <c r="C79" s="79">
        <f>(C27+D27+E27)/3</f>
        <v>34706.666666666664</v>
      </c>
      <c r="D79" s="80">
        <f>(F27+G27+H27)/3</f>
        <v>0</v>
      </c>
      <c r="E79" s="81">
        <f>(I27+J27+K27)/3</f>
        <v>0</v>
      </c>
      <c r="F79" s="88">
        <f>(L27+M27+N27)/3</f>
        <v>0</v>
      </c>
    </row>
    <row r="80" spans="1:6" ht="21.6" customHeight="1">
      <c r="A80" s="93"/>
      <c r="B80" s="84" t="s">
        <v>22</v>
      </c>
      <c r="C80" s="79">
        <f>(C28+D28+E28)/3</f>
        <v>1013080</v>
      </c>
      <c r="D80" s="80">
        <f>(F28+G28+H28)/3</f>
        <v>0</v>
      </c>
      <c r="E80" s="81">
        <f>(I28+J28+K28)/3</f>
        <v>0</v>
      </c>
      <c r="F80" s="88">
        <f>(L28+M28+N28)/3</f>
        <v>0</v>
      </c>
    </row>
    <row r="81" spans="1:6" ht="21.6" customHeight="1">
      <c r="A81" s="93"/>
      <c r="B81" s="84" t="s">
        <v>23</v>
      </c>
      <c r="C81" s="79">
        <f>(C29+D29+E29)/3</f>
        <v>801040</v>
      </c>
      <c r="D81" s="80">
        <f>(F29+G29+H29)/3</f>
        <v>0</v>
      </c>
      <c r="E81" s="81">
        <f>(I29+J29+K29)/3</f>
        <v>0</v>
      </c>
      <c r="F81" s="88">
        <f>(L29+M29+N29)/3</f>
        <v>0</v>
      </c>
    </row>
    <row r="82" spans="1:6" ht="21.6" customHeight="1">
      <c r="A82" s="93"/>
      <c r="B82" s="84" t="s">
        <v>27</v>
      </c>
      <c r="C82" s="79">
        <f>(C31+D31+E31)/3</f>
        <v>10414.106666666667</v>
      </c>
      <c r="D82" s="80">
        <f>(F31+G31+H31)/3</f>
        <v>0</v>
      </c>
      <c r="E82" s="81">
        <f>(I31+J31+K31)/3</f>
        <v>0</v>
      </c>
      <c r="F82" s="88">
        <f>(L31+M31+N31)/3</f>
        <v>0</v>
      </c>
    </row>
    <row r="83" spans="1:6" ht="21.6" customHeight="1">
      <c r="A83" s="93"/>
      <c r="B83" s="84" t="s">
        <v>21</v>
      </c>
      <c r="C83" s="79">
        <f>(C32+D32+E32)/3</f>
        <v>348433.37590000004</v>
      </c>
      <c r="D83" s="80">
        <f>(F32+G32+H32)/3</f>
        <v>0</v>
      </c>
      <c r="E83" s="81">
        <f>(I32+J32+K32)/3</f>
        <v>0</v>
      </c>
      <c r="F83" s="88">
        <f>(L32+M32+N32)/3</f>
        <v>0</v>
      </c>
    </row>
    <row r="84" spans="1:6" ht="21.6" customHeight="1">
      <c r="A84" s="93"/>
      <c r="B84" s="87" t="s">
        <v>24</v>
      </c>
      <c r="C84" s="79">
        <f>(C33+D33+E33)/3</f>
        <v>144447.38326666667</v>
      </c>
      <c r="D84" s="80">
        <f>(F33+G33+H33)/3</f>
        <v>0</v>
      </c>
      <c r="E84" s="81">
        <f>(I33+J33+K33)/3</f>
        <v>0</v>
      </c>
      <c r="F84" s="88">
        <f>(L33+M33+N33)/3</f>
        <v>0</v>
      </c>
    </row>
    <row r="85" spans="1:6" ht="21.6" customHeight="1">
      <c r="A85" s="93"/>
      <c r="B85" s="87" t="s">
        <v>25</v>
      </c>
      <c r="C85" s="79">
        <f>(C34+D34+E34)/3</f>
        <v>0</v>
      </c>
      <c r="D85" s="80">
        <f>(F34+G34+H34)/3</f>
        <v>0</v>
      </c>
      <c r="E85" s="81">
        <f>(I34+J34+K34)/3</f>
        <v>0</v>
      </c>
      <c r="F85" s="88">
        <f>(L34+M34+N34)/3</f>
        <v>0</v>
      </c>
    </row>
    <row r="86" spans="1:6" ht="21.6" customHeight="1">
      <c r="A86" s="93"/>
      <c r="B86" s="84" t="s">
        <v>50</v>
      </c>
      <c r="C86" s="79">
        <f>(C35+D35+E35)/3</f>
        <v>130337.06666666667</v>
      </c>
      <c r="D86" s="80">
        <f>(F35+G35+H35)/3</f>
        <v>0</v>
      </c>
      <c r="E86" s="81">
        <f>(I35+J35+K35)/3</f>
        <v>0</v>
      </c>
      <c r="F86" s="88">
        <f>(L35+M35+N35)/3</f>
        <v>0</v>
      </c>
    </row>
    <row r="87" spans="1:6" ht="21.6" customHeight="1" thickBot="1">
      <c r="A87" s="93"/>
      <c r="B87" s="94" t="s">
        <v>51</v>
      </c>
      <c r="C87" s="79" t="e">
        <f>(#REF!+#REF!+#REF!)/3</f>
        <v>#REF!</v>
      </c>
      <c r="D87" s="80" t="e">
        <f>(#REF!+#REF!+#REF!)/3</f>
        <v>#REF!</v>
      </c>
      <c r="E87" s="81" t="e">
        <f>(#REF!+#REF!+#REF!)/3</f>
        <v>#REF!</v>
      </c>
      <c r="F87" s="88" t="e">
        <f>(#REF!+#REF!+#REF!)/3</f>
        <v>#REF!</v>
      </c>
    </row>
    <row r="88" spans="1:6" ht="21.6" customHeight="1" thickBot="1">
      <c r="A88" s="95"/>
      <c r="B88" s="96" t="s">
        <v>35</v>
      </c>
      <c r="C88" s="97" t="e">
        <f>SUM(C75:C87)</f>
        <v>#REF!</v>
      </c>
      <c r="D88" s="98" t="e">
        <f>SUM(D75:D87)</f>
        <v>#REF!</v>
      </c>
      <c r="E88" s="98" t="e">
        <f>SUM(E75:E87)</f>
        <v>#REF!</v>
      </c>
      <c r="F88" s="99" t="e">
        <f>SUM(F75:F87)</f>
        <v>#REF!</v>
      </c>
    </row>
    <row r="89" spans="1:6" ht="21.6" customHeight="1">
      <c r="A89" s="100" t="s">
        <v>42</v>
      </c>
      <c r="B89" s="78" t="s">
        <v>17</v>
      </c>
      <c r="C89" s="79">
        <f>(C45+D45+E45)/3</f>
        <v>0</v>
      </c>
      <c r="D89" s="80">
        <f>(F45+G45+H45)/3</f>
        <v>0</v>
      </c>
      <c r="E89" s="81">
        <f>(I45+J45+K45)/3</f>
        <v>0</v>
      </c>
      <c r="F89" s="88">
        <f>(L45+M45+N45)/3</f>
        <v>0</v>
      </c>
    </row>
    <row r="90" spans="1:6" ht="21.6" customHeight="1">
      <c r="A90" s="101"/>
      <c r="B90" s="86" t="s">
        <v>18</v>
      </c>
      <c r="C90" s="79" t="e">
        <f>(#REF!+#REF!+#REF!)/3</f>
        <v>#REF!</v>
      </c>
      <c r="D90" s="80" t="e">
        <f>(#REF!+#REF!+#REF!)/3</f>
        <v>#REF!</v>
      </c>
      <c r="E90" s="81" t="e">
        <f>(#REF!+#REF!+#REF!)/3</f>
        <v>#REF!</v>
      </c>
      <c r="F90" s="88" t="e">
        <f>(#REF!+#REF!+#REF!)/3</f>
        <v>#REF!</v>
      </c>
    </row>
    <row r="91" spans="1:6" ht="21.6" customHeight="1">
      <c r="A91" s="101"/>
      <c r="B91" s="84" t="s">
        <v>19</v>
      </c>
      <c r="C91" s="79" t="e">
        <f>(#REF!+#REF!+#REF!)/3</f>
        <v>#REF!</v>
      </c>
      <c r="D91" s="80" t="e">
        <f>(#REF!+#REF!+#REF!)/3</f>
        <v>#REF!</v>
      </c>
      <c r="E91" s="81" t="e">
        <f>(#REF!+#REF!+#REF!)/3</f>
        <v>#REF!</v>
      </c>
      <c r="F91" s="88" t="e">
        <f>(#REF!+#REF!+#REF!)/3</f>
        <v>#REF!</v>
      </c>
    </row>
    <row r="92" spans="1:6" ht="21.6" customHeight="1">
      <c r="A92" s="101"/>
      <c r="B92" s="84" t="s">
        <v>22</v>
      </c>
      <c r="C92" s="79">
        <f>(C48+D48+E48)/3</f>
        <v>26647.666666666668</v>
      </c>
      <c r="D92" s="80">
        <f>(F48+G48+H48)/3</f>
        <v>0</v>
      </c>
      <c r="E92" s="81">
        <f>(I48+J48+K48)/3</f>
        <v>0</v>
      </c>
      <c r="F92" s="88">
        <f>(L48+M48+N48)/3</f>
        <v>0</v>
      </c>
    </row>
    <row r="93" spans="1:6" ht="21.6" customHeight="1">
      <c r="A93" s="101"/>
      <c r="B93" s="84" t="s">
        <v>23</v>
      </c>
      <c r="C93" s="79">
        <f>(C49+D49+E49)/3</f>
        <v>0</v>
      </c>
      <c r="D93" s="80">
        <f>(F49+G49+H49)/3</f>
        <v>0</v>
      </c>
      <c r="E93" s="81">
        <f>(I49+J49+K49)/3</f>
        <v>0</v>
      </c>
      <c r="F93" s="88">
        <f>(L49+M49+N49)/3</f>
        <v>0</v>
      </c>
    </row>
    <row r="94" spans="1:6" ht="21.6" customHeight="1">
      <c r="A94" s="101"/>
      <c r="B94" s="84" t="s">
        <v>27</v>
      </c>
      <c r="C94" s="79">
        <f>(C51+D51+E51)/3</f>
        <v>0</v>
      </c>
      <c r="D94" s="80">
        <f>(F51+G51+H51)/3</f>
        <v>0</v>
      </c>
      <c r="E94" s="81">
        <f>(I51+J51+K51)/3</f>
        <v>0</v>
      </c>
      <c r="F94" s="88">
        <f>(L51+M51+N51)/3</f>
        <v>0</v>
      </c>
    </row>
    <row r="95" spans="1:6" ht="21.6" customHeight="1">
      <c r="A95" s="101"/>
      <c r="B95" s="84" t="s">
        <v>21</v>
      </c>
      <c r="C95" s="79" t="e">
        <f>(#REF!+#REF!+#REF!)/3</f>
        <v>#REF!</v>
      </c>
      <c r="D95" s="80" t="e">
        <f>(#REF!+#REF!+#REF!)/3</f>
        <v>#REF!</v>
      </c>
      <c r="E95" s="81" t="e">
        <f>(#REF!+#REF!+#REF!)/3</f>
        <v>#REF!</v>
      </c>
      <c r="F95" s="88" t="e">
        <f>(#REF!+#REF!+#REF!)/3</f>
        <v>#REF!</v>
      </c>
    </row>
    <row r="96" spans="1:6" ht="21.6" customHeight="1">
      <c r="A96" s="101"/>
      <c r="B96" s="84" t="s">
        <v>25</v>
      </c>
      <c r="C96" s="79">
        <f>(C52+D52+E52)/3</f>
        <v>2323185.7050000001</v>
      </c>
      <c r="D96" s="80">
        <f>(F52+G52+H52)/3</f>
        <v>0</v>
      </c>
      <c r="E96" s="81">
        <f>(I52+J52+K52)/3</f>
        <v>0</v>
      </c>
      <c r="F96" s="88">
        <f>(L52+M52+N52)/3</f>
        <v>0</v>
      </c>
    </row>
    <row r="97" spans="1:7" ht="21.6" customHeight="1">
      <c r="A97" s="101"/>
      <c r="B97" s="84" t="s">
        <v>52</v>
      </c>
      <c r="C97" s="79" t="e">
        <f>(#REF!+#REF!+#REF!)/3</f>
        <v>#REF!</v>
      </c>
      <c r="D97" s="80" t="e">
        <f>(#REF!+#REF!+#REF!)/3</f>
        <v>#REF!</v>
      </c>
      <c r="E97" s="81" t="e">
        <f>(#REF!+#REF!+#REF!)/3</f>
        <v>#REF!</v>
      </c>
      <c r="F97" s="88" t="e">
        <f>(#REF!+#REF!+#REF!)/3</f>
        <v>#REF!</v>
      </c>
    </row>
    <row r="98" spans="1:7" ht="21.6" customHeight="1" thickBot="1">
      <c r="A98" s="101"/>
      <c r="B98" s="102" t="s">
        <v>24</v>
      </c>
      <c r="C98" s="79">
        <f>(C54+D54+E54)/3</f>
        <v>0</v>
      </c>
      <c r="D98" s="80">
        <f>(F54+G54+H54)/3</f>
        <v>0</v>
      </c>
      <c r="E98" s="81">
        <f>(I54+J54+K54)/3</f>
        <v>0</v>
      </c>
      <c r="F98" s="88">
        <f>(L54+M54+N54)/3</f>
        <v>0</v>
      </c>
    </row>
    <row r="99" spans="1:7" ht="21.6" customHeight="1" thickBot="1">
      <c r="A99" s="103"/>
      <c r="B99" s="104" t="s">
        <v>35</v>
      </c>
      <c r="C99" s="105" t="e">
        <f>SUM(C89:C98)</f>
        <v>#REF!</v>
      </c>
      <c r="D99" s="98" t="e">
        <f>SUM(D89:D98)</f>
        <v>#REF!</v>
      </c>
      <c r="E99" s="91" t="e">
        <f>SUM(E89:E98)</f>
        <v>#REF!</v>
      </c>
      <c r="F99" s="106" t="e">
        <f>SUM(F89:F98)</f>
        <v>#REF!</v>
      </c>
    </row>
    <row r="100" spans="1:7" ht="31.5" customHeight="1">
      <c r="A100" s="107" t="s">
        <v>43</v>
      </c>
      <c r="B100" s="107"/>
      <c r="C100" s="107"/>
      <c r="D100" s="107"/>
      <c r="E100" s="107"/>
      <c r="F100" s="107"/>
      <c r="G100" s="108"/>
    </row>
    <row r="101" spans="1:7" ht="31.5" customHeight="1">
      <c r="A101" s="109"/>
      <c r="B101" s="109"/>
      <c r="C101" s="109"/>
      <c r="D101" s="109"/>
      <c r="E101" s="109"/>
      <c r="F101" s="109"/>
    </row>
  </sheetData>
  <mergeCells count="16">
    <mergeCell ref="A75:A88"/>
    <mergeCell ref="A89:A99"/>
    <mergeCell ref="A100:F100"/>
    <mergeCell ref="A101:F101"/>
    <mergeCell ref="A57:G57"/>
    <mergeCell ref="G58:H58"/>
    <mergeCell ref="A60:F60"/>
    <mergeCell ref="A61:B62"/>
    <mergeCell ref="C61:F61"/>
    <mergeCell ref="A63:A74"/>
    <mergeCell ref="A1:N1"/>
    <mergeCell ref="A2:B3"/>
    <mergeCell ref="C2:N2"/>
    <mergeCell ref="A4:A23"/>
    <mergeCell ref="A24:A44"/>
    <mergeCell ref="A45:A56"/>
  </mergeCells>
  <printOptions horizontalCentered="1" verticalCentered="1"/>
  <pageMargins left="0.15748031496062992" right="0.15748031496062992" top="0.35433070866141736" bottom="0.19685039370078741" header="0.19685039370078741" footer="0.19685039370078741"/>
  <pageSetup paperSize="9" scale="43" orientation="portrait" r:id="rId1"/>
  <headerFooter>
    <oddHeader>&amp;R&amp;"B Jalal,Bold"&amp;22ماهنامه آماري 8 ماهه 1402  راه آهن جمهوري اسلامي ايران</oddHeader>
    <oddFooter>&amp;L&amp;"B Jalal,Regular"&amp;22 22&amp;R&amp;"B Jalal,Regular"&amp;22گروه آمار و اطلاعات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مسافت پيموده شده لکوموتيو</vt:lpstr>
      <vt:lpstr>'مسافت پيموده شده لکوموتيو'!Print_Area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roghani</dc:creator>
  <cp:lastModifiedBy>roghani</cp:lastModifiedBy>
  <dcterms:created xsi:type="dcterms:W3CDTF">2015-06-05T18:17:20Z</dcterms:created>
  <dcterms:modified xsi:type="dcterms:W3CDTF">2024-10-15T07:14:23Z</dcterms:modified>
</cp:coreProperties>
</file>